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TGV\KTGV2018_2019\"/>
    </mc:Choice>
  </mc:AlternateContent>
  <bookViews>
    <workbookView xWindow="-15" yWindow="-15" windowWidth="7650" windowHeight="8625" tabRatio="798" firstSheet="11" activeTab="11"/>
  </bookViews>
  <sheets>
    <sheet name="adatok" sheetId="21" state="hidden" r:id="rId1"/>
    <sheet name="Összesítő" sheetId="26" state="hidden" r:id="rId2"/>
    <sheet name="Főállású oktatók" sheetId="1" state="hidden" r:id="rId3"/>
    <sheet name="Társult órabéresek" sheetId="16" state="hidden" r:id="rId4"/>
    <sheet name="Óraadók" sheetId="18" state="hidden" r:id="rId5"/>
    <sheet name="Vendégelőadók HU" sheetId="19" state="hidden" r:id="rId6"/>
    <sheet name="Kuratórium" sheetId="27" state="hidden" r:id="rId7"/>
    <sheet name="Adminisztráció" sheetId="7" state="hidden" r:id="rId8"/>
    <sheet name="Utazási költségek" sheetId="10" state="hidden" r:id="rId9"/>
    <sheet name="Dologi kiadások" sheetId="9" state="hidden" r:id="rId10"/>
    <sheet name="Felhalmozási kiadások" sheetId="11" state="hidden" r:id="rId11"/>
    <sheet name="kutatási projektek" sheetId="22" r:id="rId12"/>
    <sheet name="szolgáltatások" sheetId="23" r:id="rId13"/>
  </sheets>
  <externalReferences>
    <externalReference r:id="rId14"/>
    <externalReference r:id="rId15"/>
  </externalReferences>
  <definedNames>
    <definedName name="adókulcs">adatok!$F$5</definedName>
    <definedName name="árfolyamok">adatok!$F$9:$F$11</definedName>
    <definedName name="béremelés">adatok!#REF!</definedName>
    <definedName name="béremelés_május">'[1]pótlékok és táblák'!$B$23:$C$27</definedName>
    <definedName name="ebédjegy">adatok!$F$3</definedName>
    <definedName name="egységek">adatok!$A$30:$A$41</definedName>
    <definedName name="évente">adatok!$A$30:$D$34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Excel_BuiltIn_Print_Titles_1" localSheetId="0">#REF!</definedName>
    <definedName name="Excel_BuiltIn_Print_Titles_1" localSheetId="1">#REF!</definedName>
    <definedName name="Excel_BuiltIn_Print_Titles_1">#REF!</definedName>
    <definedName name="hivatalok">adatok!$A$44:$A$70</definedName>
    <definedName name="igen_nem">adatok!$F$14:$F$15</definedName>
    <definedName name="jogdíjadó">adatok!$F$6</definedName>
    <definedName name="munkanapok">adatok!$F$4</definedName>
    <definedName name="oktatói_fokozatok">adatok!$A$3:$A$8</definedName>
    <definedName name="órabér">adatok!$B$10</definedName>
    <definedName name="órabérek">adatok!$A$3:$C$9</definedName>
    <definedName name="pótlékok">adatok!$A$15:$B$26</definedName>
    <definedName name="_xlnm.Print_Area" localSheetId="7">Adminisztráció!$A$13:$D$71</definedName>
    <definedName name="_xlnm.Print_Area" localSheetId="9">'Dologi kiadások'!$A$1:$C$58</definedName>
    <definedName name="_xlnm.Print_Area" localSheetId="10">'Felhalmozási kiadások'!$A$1:$H$7</definedName>
    <definedName name="_xlnm.Print_Area" localSheetId="2">'Főállású oktatók'!$A$15:$E$22</definedName>
    <definedName name="_xlnm.Print_Area" localSheetId="4">Óraadók!$A$1:$L$123</definedName>
    <definedName name="_xlnm.Print_Area" localSheetId="1">Összesítő!$A$2:$D$137</definedName>
    <definedName name="_xlnm.Print_Area" localSheetId="3">'Társult órabéresek'!$A$1:$O$154</definedName>
    <definedName name="_xlnm.Print_Area" localSheetId="8">'Utazási költségek'!$A$1:$J$34</definedName>
    <definedName name="_xlnm.Print_Area" localSheetId="5">'Vendégelőadók HU'!$A$1:$M$36</definedName>
    <definedName name="_xlnm.Print_Titles" localSheetId="9">'Dologi kiadások'!$1:$2</definedName>
    <definedName name="_xlnm.Print_Titles" localSheetId="10">'Felhalmozási kiadások'!$1:$5</definedName>
    <definedName name="_xlnm.Print_Titles" localSheetId="2">'Főállású oktatók'!$15:$15</definedName>
    <definedName name="_xlnm.Print_Titles" localSheetId="4">Óraadók!$8:$8</definedName>
    <definedName name="_xlnm.Print_Titles" localSheetId="3">'Társult órabéresek'!$8:$8</definedName>
    <definedName name="_xlnm.Print_Titles" localSheetId="8">'Utazási költségek'!$1:$10</definedName>
    <definedName name="_xlnm.Print_Titles" localSheetId="5">'Vendégelőadók HU'!$1:$12</definedName>
    <definedName name="tanszékek" localSheetId="0">adatok!$A$44:$A$60</definedName>
    <definedName name="tanszékek">adatok!$A$44:$A$60</definedName>
    <definedName name="tervezési_időszak">adatok!$F$2</definedName>
    <definedName name="vezetői_beosztás">[2]adatok!$E$13:$E$24</definedName>
    <definedName name="vezetői_beosztások">adatok!$A$15:$A$26</definedName>
  </definedNames>
  <calcPr calcId="152511" iterateDelta="1E-4"/>
</workbook>
</file>

<file path=xl/calcChain.xml><?xml version="1.0" encoding="utf-8"?>
<calcChain xmlns="http://schemas.openxmlformats.org/spreadsheetml/2006/main">
  <c r="L143" i="18" l="1"/>
  <c r="I28" i="19" l="1"/>
  <c r="J28" i="19"/>
  <c r="I29" i="19"/>
  <c r="K29" i="19" s="1"/>
  <c r="J29" i="19"/>
  <c r="I30" i="19"/>
  <c r="K30" i="19" s="1"/>
  <c r="M30" i="19" s="1"/>
  <c r="L30" i="19" s="1"/>
  <c r="J30" i="19"/>
  <c r="I31" i="19"/>
  <c r="J31" i="19"/>
  <c r="K31" i="19"/>
  <c r="H171" i="16"/>
  <c r="I171" i="16"/>
  <c r="L171" i="16" s="1"/>
  <c r="J171" i="16"/>
  <c r="K171" i="16"/>
  <c r="H172" i="16"/>
  <c r="I172" i="16"/>
  <c r="L172" i="16" s="1"/>
  <c r="J172" i="16"/>
  <c r="K172" i="16"/>
  <c r="H173" i="16"/>
  <c r="I173" i="16"/>
  <c r="L173" i="16" s="1"/>
  <c r="J173" i="16"/>
  <c r="K173" i="16"/>
  <c r="H174" i="16"/>
  <c r="I174" i="16"/>
  <c r="L174" i="16" s="1"/>
  <c r="J174" i="16"/>
  <c r="K174" i="16"/>
  <c r="H175" i="16"/>
  <c r="I175" i="16"/>
  <c r="L175" i="16" s="1"/>
  <c r="J175" i="16"/>
  <c r="K175" i="16"/>
  <c r="H176" i="16"/>
  <c r="I176" i="16"/>
  <c r="L176" i="16" s="1"/>
  <c r="J176" i="16"/>
  <c r="K176" i="16"/>
  <c r="H81" i="16"/>
  <c r="I81" i="16"/>
  <c r="J81" i="16"/>
  <c r="K81" i="16"/>
  <c r="H82" i="16"/>
  <c r="I82" i="16"/>
  <c r="J82" i="16"/>
  <c r="K82" i="16"/>
  <c r="H83" i="16"/>
  <c r="I83" i="16"/>
  <c r="J83" i="16"/>
  <c r="K83" i="16"/>
  <c r="H84" i="16"/>
  <c r="I84" i="16"/>
  <c r="J84" i="16"/>
  <c r="K84" i="16"/>
  <c r="H85" i="16"/>
  <c r="I85" i="16"/>
  <c r="J85" i="16"/>
  <c r="K85" i="16"/>
  <c r="H86" i="16"/>
  <c r="I86" i="16"/>
  <c r="J86" i="16"/>
  <c r="K86" i="16"/>
  <c r="H87" i="16"/>
  <c r="I87" i="16"/>
  <c r="J87" i="16"/>
  <c r="K87" i="16"/>
  <c r="H88" i="16"/>
  <c r="I88" i="16"/>
  <c r="J88" i="16"/>
  <c r="K88" i="16"/>
  <c r="H89" i="16"/>
  <c r="I89" i="16"/>
  <c r="J89" i="16"/>
  <c r="K89" i="16"/>
  <c r="H90" i="16"/>
  <c r="I90" i="16"/>
  <c r="J90" i="16"/>
  <c r="K90" i="16"/>
  <c r="H159" i="16"/>
  <c r="I159" i="16"/>
  <c r="J159" i="16"/>
  <c r="K159" i="16"/>
  <c r="H160" i="16"/>
  <c r="I160" i="16"/>
  <c r="J160" i="16"/>
  <c r="K160" i="16"/>
  <c r="H161" i="16"/>
  <c r="I161" i="16"/>
  <c r="J161" i="16"/>
  <c r="K161" i="16"/>
  <c r="H162" i="16"/>
  <c r="I162" i="16"/>
  <c r="J162" i="16"/>
  <c r="K162" i="16"/>
  <c r="H163" i="16"/>
  <c r="I163" i="16"/>
  <c r="J163" i="16"/>
  <c r="K163" i="16"/>
  <c r="H164" i="16"/>
  <c r="I164" i="16"/>
  <c r="J164" i="16"/>
  <c r="K164" i="16"/>
  <c r="H165" i="16"/>
  <c r="I165" i="16"/>
  <c r="J165" i="16"/>
  <c r="K165" i="16"/>
  <c r="H166" i="16"/>
  <c r="I166" i="16"/>
  <c r="J166" i="16"/>
  <c r="K166" i="16"/>
  <c r="H167" i="16"/>
  <c r="I167" i="16"/>
  <c r="J167" i="16"/>
  <c r="K167" i="16"/>
  <c r="H168" i="16"/>
  <c r="I168" i="16"/>
  <c r="J168" i="16"/>
  <c r="K168" i="16"/>
  <c r="B186" i="16"/>
  <c r="K28" i="19" l="1"/>
  <c r="M28" i="19" s="1"/>
  <c r="L28" i="19" s="1"/>
  <c r="M29" i="19"/>
  <c r="L29" i="19" s="1"/>
  <c r="M31" i="19"/>
  <c r="L31" i="19" s="1"/>
  <c r="M176" i="16"/>
  <c r="N176" i="16"/>
  <c r="O176" i="16"/>
  <c r="M175" i="16"/>
  <c r="N175" i="16"/>
  <c r="O175" i="16"/>
  <c r="O174" i="16"/>
  <c r="M174" i="16"/>
  <c r="N174" i="16" s="1"/>
  <c r="N173" i="16"/>
  <c r="O173" i="16"/>
  <c r="M173" i="16"/>
  <c r="N172" i="16"/>
  <c r="O172" i="16"/>
  <c r="M172" i="16"/>
  <c r="M171" i="16"/>
  <c r="N171" i="16"/>
  <c r="O171" i="16"/>
  <c r="L90" i="16"/>
  <c r="O90" i="16" s="1"/>
  <c r="L89" i="16"/>
  <c r="L88" i="16"/>
  <c r="L87" i="16"/>
  <c r="O87" i="16" s="1"/>
  <c r="L86" i="16"/>
  <c r="L85" i="16"/>
  <c r="L84" i="16"/>
  <c r="L83" i="16"/>
  <c r="L82" i="16"/>
  <c r="M82" i="16" s="1"/>
  <c r="N82" i="16" s="1"/>
  <c r="L81" i="16"/>
  <c r="L167" i="16"/>
  <c r="O167" i="16" s="1"/>
  <c r="L165" i="16"/>
  <c r="M165" i="16" s="1"/>
  <c r="N165" i="16" s="1"/>
  <c r="L164" i="16"/>
  <c r="M164" i="16" s="1"/>
  <c r="N164" i="16" s="1"/>
  <c r="L161" i="16"/>
  <c r="M161" i="16" s="1"/>
  <c r="N161" i="16" s="1"/>
  <c r="L159" i="16"/>
  <c r="M159" i="16" s="1"/>
  <c r="N159" i="16" s="1"/>
  <c r="L168" i="16"/>
  <c r="O168" i="16" s="1"/>
  <c r="L166" i="16"/>
  <c r="O166" i="16" s="1"/>
  <c r="L162" i="16"/>
  <c r="L160" i="16"/>
  <c r="O160" i="16" s="1"/>
  <c r="L163" i="16"/>
  <c r="O163" i="16" s="1"/>
  <c r="M90" i="16"/>
  <c r="N90" i="16" s="1"/>
  <c r="M89" i="16"/>
  <c r="N89" i="16"/>
  <c r="O89" i="16"/>
  <c r="M88" i="16"/>
  <c r="N88" i="16"/>
  <c r="O88" i="16"/>
  <c r="M87" i="16"/>
  <c r="N87" i="16" s="1"/>
  <c r="O86" i="16"/>
  <c r="M85" i="16"/>
  <c r="N85" i="16"/>
  <c r="O85" i="16"/>
  <c r="M84" i="16"/>
  <c r="N84" i="16" s="1"/>
  <c r="O84" i="16"/>
  <c r="M83" i="16"/>
  <c r="N83" i="16" s="1"/>
  <c r="O83" i="16"/>
  <c r="M81" i="16"/>
  <c r="N81" i="16" s="1"/>
  <c r="O81" i="16"/>
  <c r="M167" i="16"/>
  <c r="N167" i="16" s="1"/>
  <c r="M166" i="16"/>
  <c r="N166" i="16" s="1"/>
  <c r="M162" i="16"/>
  <c r="N162" i="16"/>
  <c r="O162" i="16"/>
  <c r="O161" i="16"/>
  <c r="M160" i="16"/>
  <c r="N160" i="16"/>
  <c r="O159" i="16"/>
  <c r="C115" i="26"/>
  <c r="F33" i="7"/>
  <c r="O164" i="16" l="1"/>
  <c r="O82" i="16"/>
  <c r="M86" i="16"/>
  <c r="N86" i="16" s="1"/>
  <c r="M163" i="16"/>
  <c r="N163" i="16" s="1"/>
  <c r="O165" i="16"/>
  <c r="M168" i="16"/>
  <c r="N168" i="16" s="1"/>
  <c r="D121" i="26"/>
  <c r="C106" i="26" l="1"/>
  <c r="C129" i="26" s="1"/>
  <c r="D129" i="26" l="1"/>
  <c r="Z14" i="21" l="1"/>
  <c r="B33" i="21" s="1"/>
  <c r="B26" i="27" l="1"/>
  <c r="G25" i="27"/>
  <c r="E25" i="27"/>
  <c r="F25" i="27" s="1"/>
  <c r="G24" i="27"/>
  <c r="E24" i="27"/>
  <c r="F24" i="27" s="1"/>
  <c r="G23" i="27"/>
  <c r="E23" i="27"/>
  <c r="F23" i="27" s="1"/>
  <c r="G22" i="27"/>
  <c r="E22" i="27"/>
  <c r="F22" i="27" s="1"/>
  <c r="G21" i="27"/>
  <c r="E21" i="27"/>
  <c r="F21" i="27" s="1"/>
  <c r="G20" i="27"/>
  <c r="E20" i="27"/>
  <c r="F20" i="27" s="1"/>
  <c r="G19" i="27"/>
  <c r="E19" i="27"/>
  <c r="F19" i="27" s="1"/>
  <c r="G18" i="27"/>
  <c r="E18" i="27"/>
  <c r="F18" i="27" s="1"/>
  <c r="G17" i="27"/>
  <c r="E17" i="27"/>
  <c r="F17" i="27" s="1"/>
  <c r="G16" i="27"/>
  <c r="E16" i="27"/>
  <c r="F16" i="27" s="1"/>
  <c r="G15" i="27"/>
  <c r="E15" i="27"/>
  <c r="F15" i="27" s="1"/>
  <c r="G14" i="27"/>
  <c r="E14" i="27"/>
  <c r="F14" i="27" s="1"/>
  <c r="G13" i="27"/>
  <c r="E13" i="27"/>
  <c r="F13" i="27" s="1"/>
  <c r="G12" i="27"/>
  <c r="E12" i="27"/>
  <c r="D3" i="27" s="1"/>
  <c r="D15" i="26" s="1"/>
  <c r="G11" i="27"/>
  <c r="E11" i="27"/>
  <c r="F11" i="27" s="1"/>
  <c r="G10" i="27"/>
  <c r="E10" i="27"/>
  <c r="F10" i="27" s="1"/>
  <c r="A1" i="27"/>
  <c r="H66" i="7"/>
  <c r="F66" i="7"/>
  <c r="E66" i="7"/>
  <c r="G66" i="7" s="1"/>
  <c r="H65" i="7"/>
  <c r="F65" i="7"/>
  <c r="E65" i="7"/>
  <c r="G65" i="7" s="1"/>
  <c r="H64" i="7"/>
  <c r="F64" i="7"/>
  <c r="E64" i="7"/>
  <c r="G64" i="7" s="1"/>
  <c r="H63" i="7"/>
  <c r="F63" i="7"/>
  <c r="E63" i="7"/>
  <c r="G63" i="7" s="1"/>
  <c r="H62" i="7"/>
  <c r="F62" i="7"/>
  <c r="E62" i="7"/>
  <c r="G62" i="7" s="1"/>
  <c r="H61" i="7"/>
  <c r="F61" i="7"/>
  <c r="E61" i="7"/>
  <c r="G61" i="7" s="1"/>
  <c r="H60" i="7"/>
  <c r="F60" i="7"/>
  <c r="E60" i="7"/>
  <c r="G60" i="7" s="1"/>
  <c r="H59" i="7"/>
  <c r="F59" i="7"/>
  <c r="E59" i="7"/>
  <c r="G59" i="7" s="1"/>
  <c r="H58" i="7"/>
  <c r="F58" i="7"/>
  <c r="E58" i="7"/>
  <c r="G58" i="7" s="1"/>
  <c r="H57" i="7"/>
  <c r="F57" i="7"/>
  <c r="E57" i="7"/>
  <c r="G57" i="7" s="1"/>
  <c r="H56" i="7"/>
  <c r="F56" i="7"/>
  <c r="E56" i="7"/>
  <c r="G56" i="7" s="1"/>
  <c r="H55" i="7"/>
  <c r="F55" i="7"/>
  <c r="E55" i="7"/>
  <c r="G55" i="7" s="1"/>
  <c r="H54" i="7"/>
  <c r="F54" i="7"/>
  <c r="E54" i="7"/>
  <c r="G54" i="7" s="1"/>
  <c r="H53" i="7"/>
  <c r="F53" i="7"/>
  <c r="E53" i="7"/>
  <c r="G53" i="7" s="1"/>
  <c r="H52" i="7"/>
  <c r="F52" i="7"/>
  <c r="E52" i="7"/>
  <c r="G52" i="7" s="1"/>
  <c r="H51" i="7"/>
  <c r="F51" i="7"/>
  <c r="E51" i="7"/>
  <c r="G51" i="7" s="1"/>
  <c r="H50" i="7"/>
  <c r="F50" i="7"/>
  <c r="E50" i="7"/>
  <c r="G50" i="7" s="1"/>
  <c r="H49" i="7"/>
  <c r="F49" i="7"/>
  <c r="E49" i="7"/>
  <c r="G49" i="7" s="1"/>
  <c r="H48" i="7"/>
  <c r="F48" i="7"/>
  <c r="E48" i="7"/>
  <c r="G48" i="7" s="1"/>
  <c r="H47" i="7"/>
  <c r="F47" i="7"/>
  <c r="E47" i="7"/>
  <c r="G47" i="7" s="1"/>
  <c r="H46" i="7"/>
  <c r="F46" i="7"/>
  <c r="E46" i="7"/>
  <c r="G46" i="7" s="1"/>
  <c r="H45" i="7"/>
  <c r="F45" i="7"/>
  <c r="E45" i="7"/>
  <c r="G45" i="7" s="1"/>
  <c r="H44" i="7"/>
  <c r="F44" i="7"/>
  <c r="E44" i="7"/>
  <c r="G44" i="7" s="1"/>
  <c r="H43" i="7"/>
  <c r="F43" i="7"/>
  <c r="E43" i="7"/>
  <c r="G43" i="7" s="1"/>
  <c r="H42" i="7"/>
  <c r="F42" i="7"/>
  <c r="E42" i="7"/>
  <c r="G42" i="7" s="1"/>
  <c r="H41" i="7"/>
  <c r="F41" i="7"/>
  <c r="E41" i="7"/>
  <c r="G41" i="7" s="1"/>
  <c r="H40" i="7"/>
  <c r="F40" i="7"/>
  <c r="E40" i="7"/>
  <c r="G40" i="7" s="1"/>
  <c r="H39" i="7"/>
  <c r="F39" i="7"/>
  <c r="E39" i="7"/>
  <c r="G39" i="7" s="1"/>
  <c r="H38" i="7"/>
  <c r="F38" i="7"/>
  <c r="E38" i="7"/>
  <c r="G38" i="7" s="1"/>
  <c r="H37" i="7"/>
  <c r="F37" i="7"/>
  <c r="E37" i="7"/>
  <c r="G37" i="7" s="1"/>
  <c r="H36" i="7"/>
  <c r="F36" i="7"/>
  <c r="E36" i="7"/>
  <c r="G36" i="7" s="1"/>
  <c r="H35" i="7"/>
  <c r="F35" i="7"/>
  <c r="E35" i="7"/>
  <c r="G35" i="7" s="1"/>
  <c r="H34" i="7"/>
  <c r="F34" i="7"/>
  <c r="E34" i="7"/>
  <c r="G34" i="7" s="1"/>
  <c r="H33" i="7"/>
  <c r="E33" i="7"/>
  <c r="G33" i="7" s="1"/>
  <c r="H32" i="7"/>
  <c r="F32" i="7"/>
  <c r="E32" i="7"/>
  <c r="G32" i="7" s="1"/>
  <c r="H31" i="7"/>
  <c r="F31" i="7"/>
  <c r="E31" i="7"/>
  <c r="G31" i="7" s="1"/>
  <c r="H30" i="7"/>
  <c r="F30" i="7"/>
  <c r="E30" i="7"/>
  <c r="G30" i="7" s="1"/>
  <c r="H29" i="7"/>
  <c r="F29" i="7"/>
  <c r="E29" i="7"/>
  <c r="G29" i="7" s="1"/>
  <c r="K33" i="16"/>
  <c r="J33" i="16"/>
  <c r="I33" i="16"/>
  <c r="H33" i="16"/>
  <c r="K32" i="16"/>
  <c r="J32" i="16"/>
  <c r="I32" i="16"/>
  <c r="H32" i="16"/>
  <c r="K31" i="16"/>
  <c r="J31" i="16"/>
  <c r="I31" i="16"/>
  <c r="H31" i="16"/>
  <c r="K30" i="16"/>
  <c r="J30" i="16"/>
  <c r="I30" i="16"/>
  <c r="H30" i="16"/>
  <c r="K29" i="16"/>
  <c r="J29" i="16"/>
  <c r="I29" i="16"/>
  <c r="H29" i="16"/>
  <c r="K28" i="16"/>
  <c r="J28" i="16"/>
  <c r="I28" i="16"/>
  <c r="H28" i="16"/>
  <c r="K27" i="16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J23" i="16"/>
  <c r="I23" i="16"/>
  <c r="H23" i="16"/>
  <c r="K22" i="16"/>
  <c r="J22" i="16"/>
  <c r="I22" i="16"/>
  <c r="H22" i="16"/>
  <c r="K21" i="16"/>
  <c r="J21" i="16"/>
  <c r="I21" i="16"/>
  <c r="H21" i="16"/>
  <c r="K20" i="16"/>
  <c r="J20" i="16"/>
  <c r="I20" i="16"/>
  <c r="H20" i="16"/>
  <c r="K19" i="16"/>
  <c r="J19" i="16"/>
  <c r="I19" i="16"/>
  <c r="H19" i="16"/>
  <c r="K18" i="16"/>
  <c r="J18" i="16"/>
  <c r="I18" i="16"/>
  <c r="H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A1" i="1"/>
  <c r="G8" i="1" s="1"/>
  <c r="F8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6" i="1"/>
  <c r="L15" i="16" l="1"/>
  <c r="M15" i="16" s="1"/>
  <c r="N15" i="16" s="1"/>
  <c r="L18" i="16"/>
  <c r="O18" i="16" s="1"/>
  <c r="L28" i="16"/>
  <c r="O28" i="16" s="1"/>
  <c r="L16" i="16"/>
  <c r="M16" i="16" s="1"/>
  <c r="N16" i="16" s="1"/>
  <c r="L19" i="16"/>
  <c r="M19" i="16" s="1"/>
  <c r="N19" i="16" s="1"/>
  <c r="L23" i="16"/>
  <c r="M23" i="16" s="1"/>
  <c r="N23" i="16" s="1"/>
  <c r="D5" i="27"/>
  <c r="D38" i="26" s="1"/>
  <c r="L17" i="16"/>
  <c r="O17" i="16" s="1"/>
  <c r="L20" i="16"/>
  <c r="M20" i="16" s="1"/>
  <c r="N20" i="16" s="1"/>
  <c r="L21" i="16"/>
  <c r="O21" i="16" s="1"/>
  <c r="L22" i="16"/>
  <c r="O22" i="16" s="1"/>
  <c r="L24" i="16"/>
  <c r="O24" i="16" s="1"/>
  <c r="L25" i="16"/>
  <c r="O25" i="16" s="1"/>
  <c r="L26" i="16"/>
  <c r="O26" i="16" s="1"/>
  <c r="L27" i="16"/>
  <c r="L29" i="16"/>
  <c r="O29" i="16" s="1"/>
  <c r="L30" i="16"/>
  <c r="M30" i="16" s="1"/>
  <c r="N30" i="16" s="1"/>
  <c r="L31" i="16"/>
  <c r="O31" i="16" s="1"/>
  <c r="L32" i="16"/>
  <c r="O32" i="16" s="1"/>
  <c r="L33" i="16"/>
  <c r="M33" i="16" s="1"/>
  <c r="N33" i="16" s="1"/>
  <c r="F9" i="1"/>
  <c r="F12" i="27"/>
  <c r="D4" i="27" s="1"/>
  <c r="D26" i="26" s="1"/>
  <c r="O19" i="16"/>
  <c r="F10" i="1"/>
  <c r="F5" i="1"/>
  <c r="X14" i="21"/>
  <c r="B32" i="21" s="1"/>
  <c r="V14" i="21"/>
  <c r="B31" i="21" s="1"/>
  <c r="T14" i="21"/>
  <c r="R14" i="21"/>
  <c r="P14" i="21"/>
  <c r="M25" i="16" l="1"/>
  <c r="N25" i="16" s="1"/>
  <c r="O15" i="16"/>
  <c r="O20" i="16"/>
  <c r="O30" i="16"/>
  <c r="M17" i="16"/>
  <c r="N17" i="16" s="1"/>
  <c r="O16" i="16"/>
  <c r="B30" i="21"/>
  <c r="AB14" i="21"/>
  <c r="B34" i="21"/>
  <c r="G11" i="1" s="1"/>
  <c r="F13" i="1" s="1"/>
  <c r="D41" i="26" s="1"/>
  <c r="M26" i="16"/>
  <c r="N26" i="16" s="1"/>
  <c r="O23" i="16"/>
  <c r="M31" i="16"/>
  <c r="N31" i="16" s="1"/>
  <c r="M21" i="16"/>
  <c r="N21" i="16" s="1"/>
  <c r="M28" i="16"/>
  <c r="N28" i="16" s="1"/>
  <c r="M18" i="16"/>
  <c r="N18" i="16" s="1"/>
  <c r="O33" i="16"/>
  <c r="M32" i="16"/>
  <c r="N32" i="16" s="1"/>
  <c r="M27" i="16"/>
  <c r="N27" i="16" s="1"/>
  <c r="M22" i="16"/>
  <c r="N22" i="16" s="1"/>
  <c r="M29" i="16"/>
  <c r="N29" i="16" s="1"/>
  <c r="O27" i="16"/>
  <c r="M24" i="16"/>
  <c r="N24" i="16" s="1"/>
  <c r="D2" i="27"/>
  <c r="M143" i="18"/>
  <c r="N143" i="18" s="1"/>
  <c r="O143" i="18"/>
  <c r="M144" i="18"/>
  <c r="N144" i="18" s="1"/>
  <c r="O144" i="18"/>
  <c r="M142" i="18"/>
  <c r="N142" i="18" s="1"/>
  <c r="O142" i="18"/>
  <c r="K140" i="18"/>
  <c r="J140" i="18"/>
  <c r="I140" i="18"/>
  <c r="H140" i="18"/>
  <c r="K139" i="18"/>
  <c r="J139" i="18"/>
  <c r="I139" i="18"/>
  <c r="H139" i="18"/>
  <c r="K138" i="18"/>
  <c r="J138" i="18"/>
  <c r="I138" i="18"/>
  <c r="H138" i="18"/>
  <c r="K137" i="18"/>
  <c r="J137" i="18"/>
  <c r="I137" i="18"/>
  <c r="H137" i="18"/>
  <c r="K136" i="18"/>
  <c r="J136" i="18"/>
  <c r="I136" i="18"/>
  <c r="H136" i="18"/>
  <c r="K135" i="18"/>
  <c r="J135" i="18"/>
  <c r="I135" i="18"/>
  <c r="H135" i="18"/>
  <c r="K134" i="18"/>
  <c r="J134" i="18"/>
  <c r="I134" i="18"/>
  <c r="H134" i="18"/>
  <c r="K133" i="18"/>
  <c r="J133" i="18"/>
  <c r="I133" i="18"/>
  <c r="H133" i="18"/>
  <c r="K132" i="18"/>
  <c r="J132" i="18"/>
  <c r="I132" i="18"/>
  <c r="H132" i="18"/>
  <c r="K131" i="18"/>
  <c r="J131" i="18"/>
  <c r="I131" i="18"/>
  <c r="H131" i="18"/>
  <c r="K130" i="18"/>
  <c r="J130" i="18"/>
  <c r="I130" i="18"/>
  <c r="H130" i="18"/>
  <c r="K129" i="18"/>
  <c r="J129" i="18"/>
  <c r="I129" i="18"/>
  <c r="H129" i="18"/>
  <c r="M8" i="21"/>
  <c r="K8" i="21"/>
  <c r="M7" i="21"/>
  <c r="K7" i="21"/>
  <c r="M6" i="21"/>
  <c r="K6" i="21"/>
  <c r="M5" i="21"/>
  <c r="K5" i="21"/>
  <c r="M4" i="21"/>
  <c r="K4" i="21"/>
  <c r="M3" i="21"/>
  <c r="K3" i="21"/>
  <c r="C117" i="1"/>
  <c r="D136" i="26" s="1"/>
  <c r="B150" i="7"/>
  <c r="D137" i="26" s="1"/>
  <c r="C37" i="19"/>
  <c r="B145" i="18"/>
  <c r="K128" i="18"/>
  <c r="J128" i="18"/>
  <c r="I128" i="18"/>
  <c r="H128" i="18"/>
  <c r="K127" i="18"/>
  <c r="J127" i="18"/>
  <c r="I127" i="18"/>
  <c r="H127" i="18"/>
  <c r="K126" i="18"/>
  <c r="J126" i="18"/>
  <c r="I126" i="18"/>
  <c r="H126" i="18"/>
  <c r="K125" i="18"/>
  <c r="J125" i="18"/>
  <c r="I125" i="18"/>
  <c r="H125" i="18"/>
  <c r="K124" i="18"/>
  <c r="J124" i="18"/>
  <c r="I124" i="18"/>
  <c r="H124" i="18"/>
  <c r="K123" i="18"/>
  <c r="J123" i="18"/>
  <c r="I123" i="18"/>
  <c r="H123" i="18"/>
  <c r="K122" i="18"/>
  <c r="J122" i="18"/>
  <c r="I122" i="18"/>
  <c r="H122" i="18"/>
  <c r="K121" i="18"/>
  <c r="J121" i="18"/>
  <c r="I121" i="18"/>
  <c r="H121" i="18"/>
  <c r="K120" i="18"/>
  <c r="J120" i="18"/>
  <c r="I120" i="18"/>
  <c r="H120" i="18"/>
  <c r="K119" i="18"/>
  <c r="J119" i="18"/>
  <c r="I119" i="18"/>
  <c r="H119" i="18"/>
  <c r="K118" i="18"/>
  <c r="J118" i="18"/>
  <c r="I118" i="18"/>
  <c r="H118" i="18"/>
  <c r="K117" i="18"/>
  <c r="J117" i="18"/>
  <c r="I117" i="18"/>
  <c r="H117" i="18"/>
  <c r="K116" i="18"/>
  <c r="J116" i="18"/>
  <c r="I116" i="18"/>
  <c r="H116" i="18"/>
  <c r="K115" i="18"/>
  <c r="J115" i="18"/>
  <c r="I115" i="18"/>
  <c r="H115" i="18"/>
  <c r="K114" i="18"/>
  <c r="J114" i="18"/>
  <c r="I114" i="18"/>
  <c r="H114" i="18"/>
  <c r="K113" i="18"/>
  <c r="J113" i="18"/>
  <c r="I113" i="18"/>
  <c r="H113" i="18"/>
  <c r="K112" i="18"/>
  <c r="J112" i="18"/>
  <c r="I112" i="18"/>
  <c r="H112" i="18"/>
  <c r="K111" i="18"/>
  <c r="J111" i="18"/>
  <c r="I111" i="18"/>
  <c r="H111" i="18"/>
  <c r="K110" i="18"/>
  <c r="J110" i="18"/>
  <c r="I110" i="18"/>
  <c r="H110" i="18"/>
  <c r="K109" i="18"/>
  <c r="J109" i="18"/>
  <c r="I109" i="18"/>
  <c r="H109" i="18"/>
  <c r="K108" i="18"/>
  <c r="J108" i="18"/>
  <c r="I108" i="18"/>
  <c r="H108" i="18"/>
  <c r="K107" i="18"/>
  <c r="J107" i="18"/>
  <c r="I107" i="18"/>
  <c r="H107" i="18"/>
  <c r="K106" i="18"/>
  <c r="J106" i="18"/>
  <c r="I106" i="18"/>
  <c r="H106" i="18"/>
  <c r="K105" i="18"/>
  <c r="J105" i="18"/>
  <c r="I105" i="18"/>
  <c r="H105" i="18"/>
  <c r="K104" i="18"/>
  <c r="J104" i="18"/>
  <c r="I104" i="18"/>
  <c r="H104" i="18"/>
  <c r="K103" i="18"/>
  <c r="J103" i="18"/>
  <c r="I103" i="18"/>
  <c r="H103" i="18"/>
  <c r="K102" i="18"/>
  <c r="J102" i="18"/>
  <c r="I102" i="18"/>
  <c r="H102" i="18"/>
  <c r="K101" i="18"/>
  <c r="J101" i="18"/>
  <c r="I101" i="18"/>
  <c r="H101" i="18"/>
  <c r="K100" i="18"/>
  <c r="J100" i="18"/>
  <c r="I100" i="18"/>
  <c r="H100" i="18"/>
  <c r="K99" i="18"/>
  <c r="J99" i="18"/>
  <c r="I99" i="18"/>
  <c r="H99" i="18"/>
  <c r="K98" i="18"/>
  <c r="J98" i="18"/>
  <c r="I98" i="18"/>
  <c r="H98" i="18"/>
  <c r="K97" i="18"/>
  <c r="J97" i="18"/>
  <c r="I97" i="18"/>
  <c r="H97" i="18"/>
  <c r="K96" i="18"/>
  <c r="J96" i="18"/>
  <c r="I96" i="18"/>
  <c r="H96" i="18"/>
  <c r="K95" i="18"/>
  <c r="J95" i="18"/>
  <c r="I95" i="18"/>
  <c r="H95" i="18"/>
  <c r="K94" i="18"/>
  <c r="J94" i="18"/>
  <c r="I94" i="18"/>
  <c r="H94" i="18"/>
  <c r="K93" i="18"/>
  <c r="J93" i="18"/>
  <c r="I93" i="18"/>
  <c r="H93" i="18"/>
  <c r="K92" i="18"/>
  <c r="J92" i="18"/>
  <c r="I92" i="18"/>
  <c r="H92" i="18"/>
  <c r="K91" i="18"/>
  <c r="J91" i="18"/>
  <c r="I91" i="18"/>
  <c r="H91" i="18"/>
  <c r="K90" i="18"/>
  <c r="J90" i="18"/>
  <c r="I90" i="18"/>
  <c r="H90" i="18"/>
  <c r="K89" i="18"/>
  <c r="J89" i="18"/>
  <c r="I89" i="18"/>
  <c r="H89" i="18"/>
  <c r="K88" i="18"/>
  <c r="J88" i="18"/>
  <c r="I88" i="18"/>
  <c r="H88" i="18"/>
  <c r="K87" i="18"/>
  <c r="J87" i="18"/>
  <c r="I87" i="18"/>
  <c r="H87" i="18"/>
  <c r="K86" i="18"/>
  <c r="J86" i="18"/>
  <c r="I86" i="18"/>
  <c r="H86" i="18"/>
  <c r="K85" i="18"/>
  <c r="J85" i="18"/>
  <c r="I85" i="18"/>
  <c r="H85" i="18"/>
  <c r="K84" i="18"/>
  <c r="J84" i="18"/>
  <c r="I84" i="18"/>
  <c r="H84" i="18"/>
  <c r="K83" i="18"/>
  <c r="J83" i="18"/>
  <c r="I83" i="18"/>
  <c r="H83" i="18"/>
  <c r="K82" i="18"/>
  <c r="J82" i="18"/>
  <c r="I82" i="18"/>
  <c r="H82" i="18"/>
  <c r="K81" i="18"/>
  <c r="J81" i="18"/>
  <c r="I81" i="18"/>
  <c r="H81" i="18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J72" i="18"/>
  <c r="I72" i="18"/>
  <c r="H72" i="18"/>
  <c r="K71" i="18"/>
  <c r="J71" i="18"/>
  <c r="I71" i="18"/>
  <c r="H71" i="18"/>
  <c r="K70" i="18"/>
  <c r="J70" i="18"/>
  <c r="I70" i="18"/>
  <c r="H70" i="18"/>
  <c r="K68" i="18"/>
  <c r="J68" i="18"/>
  <c r="I68" i="18"/>
  <c r="H68" i="18"/>
  <c r="K67" i="18"/>
  <c r="J67" i="18"/>
  <c r="I67" i="18"/>
  <c r="H67" i="18"/>
  <c r="K66" i="18"/>
  <c r="J66" i="18"/>
  <c r="I66" i="18"/>
  <c r="H66" i="18"/>
  <c r="K65" i="18"/>
  <c r="J65" i="18"/>
  <c r="I65" i="18"/>
  <c r="H65" i="18"/>
  <c r="K64" i="18"/>
  <c r="J64" i="18"/>
  <c r="I64" i="18"/>
  <c r="H64" i="18"/>
  <c r="K63" i="18"/>
  <c r="J63" i="18"/>
  <c r="I63" i="18"/>
  <c r="H63" i="18"/>
  <c r="K62" i="18"/>
  <c r="J62" i="18"/>
  <c r="I62" i="18"/>
  <c r="H62" i="18"/>
  <c r="K61" i="18"/>
  <c r="J61" i="18"/>
  <c r="I61" i="18"/>
  <c r="H61" i="18"/>
  <c r="K60" i="18"/>
  <c r="J60" i="18"/>
  <c r="I60" i="18"/>
  <c r="H60" i="18"/>
  <c r="K59" i="18"/>
  <c r="J59" i="18"/>
  <c r="I59" i="18"/>
  <c r="H59" i="18"/>
  <c r="K58" i="18"/>
  <c r="J58" i="18"/>
  <c r="I58" i="18"/>
  <c r="H58" i="18"/>
  <c r="K57" i="18"/>
  <c r="J57" i="18"/>
  <c r="I57" i="18"/>
  <c r="H57" i="18"/>
  <c r="K56" i="18"/>
  <c r="J56" i="18"/>
  <c r="I56" i="18"/>
  <c r="H56" i="18"/>
  <c r="K55" i="18"/>
  <c r="J55" i="18"/>
  <c r="I55" i="18"/>
  <c r="H55" i="18"/>
  <c r="K54" i="18"/>
  <c r="J54" i="18"/>
  <c r="I54" i="18"/>
  <c r="H54" i="18"/>
  <c r="K53" i="18"/>
  <c r="J53" i="18"/>
  <c r="I53" i="18"/>
  <c r="H53" i="18"/>
  <c r="K52" i="18"/>
  <c r="J52" i="18"/>
  <c r="I52" i="18"/>
  <c r="H52" i="18"/>
  <c r="K51" i="18"/>
  <c r="J51" i="18"/>
  <c r="I51" i="18"/>
  <c r="H51" i="18"/>
  <c r="K50" i="18"/>
  <c r="J50" i="18"/>
  <c r="I50" i="18"/>
  <c r="H50" i="18"/>
  <c r="K49" i="18"/>
  <c r="J49" i="18"/>
  <c r="I49" i="18"/>
  <c r="H49" i="18"/>
  <c r="K48" i="18"/>
  <c r="J48" i="18"/>
  <c r="I48" i="18"/>
  <c r="H48" i="18"/>
  <c r="K47" i="18"/>
  <c r="J47" i="18"/>
  <c r="I47" i="18"/>
  <c r="H47" i="18"/>
  <c r="K46" i="18"/>
  <c r="J46" i="18"/>
  <c r="I46" i="18"/>
  <c r="H46" i="18"/>
  <c r="K45" i="18"/>
  <c r="J45" i="18"/>
  <c r="I45" i="18"/>
  <c r="H45" i="18"/>
  <c r="K44" i="18"/>
  <c r="J44" i="18"/>
  <c r="I44" i="18"/>
  <c r="H44" i="18"/>
  <c r="K43" i="18"/>
  <c r="J43" i="18"/>
  <c r="I43" i="18"/>
  <c r="H43" i="18"/>
  <c r="K42" i="18"/>
  <c r="J42" i="18"/>
  <c r="I42" i="18"/>
  <c r="H42" i="18"/>
  <c r="K41" i="18"/>
  <c r="J41" i="18"/>
  <c r="I41" i="18"/>
  <c r="H41" i="18"/>
  <c r="K40" i="18"/>
  <c r="J40" i="18"/>
  <c r="I40" i="18"/>
  <c r="H40" i="18"/>
  <c r="K39" i="18"/>
  <c r="J39" i="18"/>
  <c r="I39" i="18"/>
  <c r="H39" i="18"/>
  <c r="K38" i="18"/>
  <c r="J38" i="18"/>
  <c r="I38" i="18"/>
  <c r="H38" i="18"/>
  <c r="K37" i="18"/>
  <c r="J37" i="18"/>
  <c r="I37" i="18"/>
  <c r="H37" i="18"/>
  <c r="K36" i="18"/>
  <c r="J36" i="18"/>
  <c r="I36" i="18"/>
  <c r="H36" i="18"/>
  <c r="K35" i="18"/>
  <c r="J35" i="18"/>
  <c r="I35" i="18"/>
  <c r="H35" i="18"/>
  <c r="K34" i="18"/>
  <c r="J34" i="18"/>
  <c r="I34" i="18"/>
  <c r="H34" i="18"/>
  <c r="K33" i="18"/>
  <c r="J33" i="18"/>
  <c r="I33" i="18"/>
  <c r="H33" i="18"/>
  <c r="K32" i="18"/>
  <c r="J32" i="18"/>
  <c r="I32" i="18"/>
  <c r="H32" i="18"/>
  <c r="K31" i="18"/>
  <c r="J31" i="18"/>
  <c r="I31" i="18"/>
  <c r="H31" i="18"/>
  <c r="K30" i="18"/>
  <c r="J30" i="18"/>
  <c r="I30" i="18"/>
  <c r="H30" i="18"/>
  <c r="K29" i="18"/>
  <c r="J29" i="18"/>
  <c r="I29" i="18"/>
  <c r="H29" i="18"/>
  <c r="K28" i="18"/>
  <c r="J28" i="18"/>
  <c r="I28" i="18"/>
  <c r="H28" i="18"/>
  <c r="K27" i="18"/>
  <c r="J27" i="18"/>
  <c r="I27" i="18"/>
  <c r="H27" i="18"/>
  <c r="K26" i="18"/>
  <c r="J26" i="18"/>
  <c r="I26" i="18"/>
  <c r="H26" i="18"/>
  <c r="K25" i="18"/>
  <c r="J25" i="18"/>
  <c r="I25" i="18"/>
  <c r="H25" i="18"/>
  <c r="K24" i="18"/>
  <c r="J24" i="18"/>
  <c r="I24" i="18"/>
  <c r="H24" i="18"/>
  <c r="K23" i="18"/>
  <c r="J23" i="18"/>
  <c r="I23" i="18"/>
  <c r="H23" i="18"/>
  <c r="K22" i="18"/>
  <c r="J22" i="18"/>
  <c r="I22" i="18"/>
  <c r="H22" i="18"/>
  <c r="K21" i="18"/>
  <c r="J21" i="18"/>
  <c r="I21" i="18"/>
  <c r="H21" i="18"/>
  <c r="K20" i="18"/>
  <c r="J20" i="18"/>
  <c r="I20" i="18"/>
  <c r="H20" i="18"/>
  <c r="K19" i="18"/>
  <c r="J19" i="18"/>
  <c r="I19" i="18"/>
  <c r="H19" i="18"/>
  <c r="K18" i="18"/>
  <c r="J18" i="18"/>
  <c r="I18" i="18"/>
  <c r="H18" i="18"/>
  <c r="K17" i="18"/>
  <c r="J17" i="18"/>
  <c r="I17" i="18"/>
  <c r="H17" i="18"/>
  <c r="K16" i="18"/>
  <c r="J16" i="18"/>
  <c r="I16" i="18"/>
  <c r="H16" i="18"/>
  <c r="K15" i="18"/>
  <c r="J15" i="18"/>
  <c r="I15" i="18"/>
  <c r="H15" i="18"/>
  <c r="K14" i="18"/>
  <c r="J14" i="18"/>
  <c r="I14" i="18"/>
  <c r="H14" i="18"/>
  <c r="K13" i="18"/>
  <c r="J13" i="18"/>
  <c r="I13" i="18"/>
  <c r="H13" i="18"/>
  <c r="K12" i="18"/>
  <c r="J12" i="18"/>
  <c r="I12" i="18"/>
  <c r="H12" i="18"/>
  <c r="K11" i="18"/>
  <c r="J11" i="18"/>
  <c r="I11" i="18"/>
  <c r="H11" i="18"/>
  <c r="K10" i="18"/>
  <c r="J10" i="18"/>
  <c r="I10" i="18"/>
  <c r="H10" i="18"/>
  <c r="H155" i="16"/>
  <c r="I155" i="16"/>
  <c r="J155" i="16"/>
  <c r="K155" i="16"/>
  <c r="H156" i="16"/>
  <c r="I156" i="16"/>
  <c r="J156" i="16"/>
  <c r="K156" i="16"/>
  <c r="H157" i="16"/>
  <c r="I157" i="16"/>
  <c r="J157" i="16"/>
  <c r="K157" i="16"/>
  <c r="H158" i="16"/>
  <c r="I158" i="16"/>
  <c r="J158" i="16"/>
  <c r="K158" i="16"/>
  <c r="H169" i="16"/>
  <c r="I169" i="16"/>
  <c r="J169" i="16"/>
  <c r="K169" i="16"/>
  <c r="H170" i="16"/>
  <c r="I170" i="16"/>
  <c r="J170" i="16"/>
  <c r="K170" i="16"/>
  <c r="H177" i="16"/>
  <c r="I177" i="16"/>
  <c r="J177" i="16"/>
  <c r="K177" i="16"/>
  <c r="H178" i="16"/>
  <c r="I178" i="16"/>
  <c r="J178" i="16"/>
  <c r="K178" i="16"/>
  <c r="H179" i="16"/>
  <c r="I179" i="16"/>
  <c r="J179" i="16"/>
  <c r="K179" i="16"/>
  <c r="H180" i="16"/>
  <c r="I180" i="16"/>
  <c r="J180" i="16"/>
  <c r="K180" i="16"/>
  <c r="H181" i="16"/>
  <c r="I181" i="16"/>
  <c r="J181" i="16"/>
  <c r="K181" i="16"/>
  <c r="H182" i="16"/>
  <c r="I182" i="16"/>
  <c r="J182" i="16"/>
  <c r="K182" i="16"/>
  <c r="H183" i="16"/>
  <c r="I183" i="16"/>
  <c r="J183" i="16"/>
  <c r="K183" i="16"/>
  <c r="H184" i="16"/>
  <c r="I184" i="16"/>
  <c r="J184" i="16"/>
  <c r="K184" i="16"/>
  <c r="H185" i="16"/>
  <c r="I185" i="16"/>
  <c r="J185" i="16"/>
  <c r="K185" i="16"/>
  <c r="A1" i="22"/>
  <c r="A1" i="11"/>
  <c r="A1" i="9"/>
  <c r="A1" i="10"/>
  <c r="A1" i="7"/>
  <c r="E8" i="7" s="1"/>
  <c r="A1" i="19"/>
  <c r="A1" i="18"/>
  <c r="A1" i="16"/>
  <c r="C116" i="26"/>
  <c r="F72" i="7"/>
  <c r="F73" i="7"/>
  <c r="F68" i="7"/>
  <c r="F24" i="1"/>
  <c r="H24" i="1" s="1"/>
  <c r="I24" i="1"/>
  <c r="F19" i="1"/>
  <c r="H19" i="1" s="1"/>
  <c r="I19" i="1"/>
  <c r="F67" i="7"/>
  <c r="F70" i="7"/>
  <c r="F20" i="1"/>
  <c r="H20" i="1" s="1"/>
  <c r="F21" i="1"/>
  <c r="H21" i="1" s="1"/>
  <c r="F22" i="1"/>
  <c r="H22" i="1" s="1"/>
  <c r="F23" i="1"/>
  <c r="H23" i="1" s="1"/>
  <c r="I20" i="1"/>
  <c r="I21" i="1"/>
  <c r="I22" i="1"/>
  <c r="I23" i="1"/>
  <c r="D96" i="26"/>
  <c r="C96" i="26" s="1"/>
  <c r="C26" i="26"/>
  <c r="C38" i="26"/>
  <c r="H70" i="7"/>
  <c r="E70" i="7"/>
  <c r="G70" i="7" s="1"/>
  <c r="D128" i="26"/>
  <c r="C128" i="26" s="1"/>
  <c r="D119" i="26"/>
  <c r="D111" i="26"/>
  <c r="D105" i="26"/>
  <c r="C105" i="26" s="1"/>
  <c r="D103" i="26"/>
  <c r="D102" i="26"/>
  <c r="D101" i="26"/>
  <c r="D100" i="26"/>
  <c r="D98" i="26"/>
  <c r="C98" i="26" s="1"/>
  <c r="D93" i="26"/>
  <c r="C93" i="26" s="1"/>
  <c r="D92" i="26"/>
  <c r="D91" i="26"/>
  <c r="C91" i="26" s="1"/>
  <c r="D90" i="26"/>
  <c r="C90" i="26" s="1"/>
  <c r="D89" i="26"/>
  <c r="C89" i="26" s="1"/>
  <c r="D88" i="26"/>
  <c r="D87" i="26"/>
  <c r="D83" i="26"/>
  <c r="D82" i="26"/>
  <c r="C82" i="26" s="1"/>
  <c r="D79" i="26"/>
  <c r="D78" i="26"/>
  <c r="C78" i="26" s="1"/>
  <c r="D77" i="26"/>
  <c r="C77" i="26" s="1"/>
  <c r="D76" i="26"/>
  <c r="C76" i="26" s="1"/>
  <c r="D74" i="26"/>
  <c r="D73" i="26"/>
  <c r="C73" i="26" s="1"/>
  <c r="D72" i="26"/>
  <c r="C72" i="26" s="1"/>
  <c r="D71" i="26"/>
  <c r="C71" i="26" s="1"/>
  <c r="D69" i="26"/>
  <c r="D68" i="26"/>
  <c r="C68" i="26" s="1"/>
  <c r="D67" i="26"/>
  <c r="C67" i="26" s="1"/>
  <c r="D65" i="26"/>
  <c r="C65" i="26" s="1"/>
  <c r="D64" i="26"/>
  <c r="D63" i="26"/>
  <c r="C63" i="26" s="1"/>
  <c r="D61" i="26"/>
  <c r="C61" i="26" s="1"/>
  <c r="D60" i="26"/>
  <c r="C60" i="26" s="1"/>
  <c r="D59" i="26"/>
  <c r="D58" i="26"/>
  <c r="C58" i="26" s="1"/>
  <c r="D56" i="26"/>
  <c r="C56" i="26" s="1"/>
  <c r="D55" i="26"/>
  <c r="C55" i="26" s="1"/>
  <c r="D53" i="26"/>
  <c r="D52" i="26"/>
  <c r="C52" i="26" s="1"/>
  <c r="D51" i="26"/>
  <c r="C51" i="26" s="1"/>
  <c r="D50" i="26"/>
  <c r="C50" i="26" s="1"/>
  <c r="D49" i="26"/>
  <c r="D48" i="26"/>
  <c r="C48" i="26" s="1"/>
  <c r="D46" i="26"/>
  <c r="C46" i="26" s="1"/>
  <c r="D45" i="26"/>
  <c r="C45" i="26" s="1"/>
  <c r="C130" i="26"/>
  <c r="D80" i="26"/>
  <c r="H69" i="7"/>
  <c r="F69" i="7"/>
  <c r="E69" i="7"/>
  <c r="G69" i="7" s="1"/>
  <c r="B3" i="11"/>
  <c r="B46" i="9"/>
  <c r="D86" i="26" s="1"/>
  <c r="B26" i="9"/>
  <c r="D66" i="26" s="1"/>
  <c r="B22" i="9"/>
  <c r="D62" i="26" s="1"/>
  <c r="B17" i="9"/>
  <c r="D57" i="26" s="1"/>
  <c r="E149" i="7"/>
  <c r="G149" i="7" s="1"/>
  <c r="F149" i="7"/>
  <c r="H149" i="7"/>
  <c r="C14" i="22"/>
  <c r="B14" i="22" s="1"/>
  <c r="D32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D5" i="22"/>
  <c r="D22" i="22" s="1"/>
  <c r="E5" i="22"/>
  <c r="E22" i="22" s="1"/>
  <c r="F5" i="22"/>
  <c r="G5" i="22"/>
  <c r="H5" i="22"/>
  <c r="H22" i="22" s="1"/>
  <c r="I5" i="22"/>
  <c r="I22" i="22" s="1"/>
  <c r="J5" i="22"/>
  <c r="K5" i="22"/>
  <c r="L5" i="22"/>
  <c r="L22" i="22" s="1"/>
  <c r="M5" i="22"/>
  <c r="M22" i="22" s="1"/>
  <c r="N5" i="22"/>
  <c r="O5" i="22"/>
  <c r="P5" i="22"/>
  <c r="P22" i="22" s="1"/>
  <c r="Q5" i="22"/>
  <c r="Q22" i="22" s="1"/>
  <c r="R5" i="22"/>
  <c r="S5" i="22"/>
  <c r="T5" i="22"/>
  <c r="T22" i="22" s="1"/>
  <c r="U5" i="22"/>
  <c r="U22" i="22" s="1"/>
  <c r="C31" i="22"/>
  <c r="C30" i="22"/>
  <c r="C27" i="22"/>
  <c r="B27" i="22" s="1"/>
  <c r="C26" i="22"/>
  <c r="B26" i="22" s="1"/>
  <c r="C25" i="22"/>
  <c r="B25" i="22" s="1"/>
  <c r="C21" i="22"/>
  <c r="B21" i="22" s="1"/>
  <c r="C20" i="22"/>
  <c r="B20" i="22" s="1"/>
  <c r="C19" i="22"/>
  <c r="B19" i="22" s="1"/>
  <c r="C18" i="22"/>
  <c r="B18" i="22" s="1"/>
  <c r="C17" i="22"/>
  <c r="C16" i="22"/>
  <c r="B16" i="22" s="1"/>
  <c r="C13" i="22"/>
  <c r="C12" i="22"/>
  <c r="C11" i="22"/>
  <c r="B11" i="22" s="1"/>
  <c r="C10" i="22"/>
  <c r="B10" i="22" s="1"/>
  <c r="C8" i="22"/>
  <c r="B8" i="22" s="1"/>
  <c r="C7" i="22"/>
  <c r="B7" i="22" s="1"/>
  <c r="C6" i="22"/>
  <c r="B6" i="22" s="1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32" i="19"/>
  <c r="J33" i="19"/>
  <c r="J34" i="19"/>
  <c r="J35" i="19"/>
  <c r="J36" i="19"/>
  <c r="J13" i="19"/>
  <c r="B10" i="21"/>
  <c r="I13" i="19" s="1"/>
  <c r="K13" i="19" s="1"/>
  <c r="M13" i="19" s="1"/>
  <c r="L13" i="19" s="1"/>
  <c r="H11" i="16"/>
  <c r="H12" i="16"/>
  <c r="H13" i="16"/>
  <c r="H14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91" i="16"/>
  <c r="H92" i="16"/>
  <c r="H93" i="16"/>
  <c r="H94" i="16"/>
  <c r="H95" i="16"/>
  <c r="H96" i="16"/>
  <c r="H97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0" i="16"/>
  <c r="D33" i="10"/>
  <c r="D31" i="10"/>
  <c r="D27" i="10"/>
  <c r="D25" i="10"/>
  <c r="J11" i="16"/>
  <c r="J12" i="16"/>
  <c r="J13" i="16"/>
  <c r="J14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91" i="16"/>
  <c r="J92" i="16"/>
  <c r="J93" i="16"/>
  <c r="J94" i="16"/>
  <c r="J95" i="16"/>
  <c r="J96" i="16"/>
  <c r="J97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0" i="16"/>
  <c r="I10" i="16"/>
  <c r="K10" i="16"/>
  <c r="I11" i="16"/>
  <c r="K11" i="16"/>
  <c r="I12" i="16"/>
  <c r="K12" i="16"/>
  <c r="I13" i="16"/>
  <c r="K13" i="16"/>
  <c r="I14" i="16"/>
  <c r="K14" i="16"/>
  <c r="I34" i="16"/>
  <c r="K34" i="16"/>
  <c r="I35" i="16"/>
  <c r="K35" i="16"/>
  <c r="I36" i="16"/>
  <c r="K36" i="16"/>
  <c r="I37" i="16"/>
  <c r="K37" i="16"/>
  <c r="I38" i="16"/>
  <c r="K38" i="16"/>
  <c r="I39" i="16"/>
  <c r="K39" i="16"/>
  <c r="I40" i="16"/>
  <c r="K40" i="16"/>
  <c r="I41" i="16"/>
  <c r="K41" i="16"/>
  <c r="I42" i="16"/>
  <c r="K42" i="16"/>
  <c r="I43" i="16"/>
  <c r="K43" i="16"/>
  <c r="I44" i="16"/>
  <c r="K44" i="16"/>
  <c r="I45" i="16"/>
  <c r="K45" i="16"/>
  <c r="I46" i="16"/>
  <c r="K46" i="16"/>
  <c r="I47" i="16"/>
  <c r="K47" i="16"/>
  <c r="I48" i="16"/>
  <c r="K48" i="16"/>
  <c r="I49" i="16"/>
  <c r="K49" i="16"/>
  <c r="I50" i="16"/>
  <c r="K50" i="16"/>
  <c r="I51" i="16"/>
  <c r="K51" i="16"/>
  <c r="I52" i="16"/>
  <c r="K52" i="16"/>
  <c r="I53" i="16"/>
  <c r="K53" i="16"/>
  <c r="I54" i="16"/>
  <c r="K54" i="16"/>
  <c r="I55" i="16"/>
  <c r="K55" i="16"/>
  <c r="I56" i="16"/>
  <c r="K56" i="16"/>
  <c r="I57" i="16"/>
  <c r="K57" i="16"/>
  <c r="I58" i="16"/>
  <c r="K58" i="16"/>
  <c r="I59" i="16"/>
  <c r="K59" i="16"/>
  <c r="I60" i="16"/>
  <c r="K60" i="16"/>
  <c r="I61" i="16"/>
  <c r="K61" i="16"/>
  <c r="I62" i="16"/>
  <c r="K62" i="16"/>
  <c r="I63" i="16"/>
  <c r="K63" i="16"/>
  <c r="I64" i="16"/>
  <c r="K64" i="16"/>
  <c r="I65" i="16"/>
  <c r="K65" i="16"/>
  <c r="I66" i="16"/>
  <c r="K66" i="16"/>
  <c r="I67" i="16"/>
  <c r="K67" i="16"/>
  <c r="I68" i="16"/>
  <c r="K68" i="16"/>
  <c r="I69" i="16"/>
  <c r="K69" i="16"/>
  <c r="I70" i="16"/>
  <c r="K70" i="16"/>
  <c r="I71" i="16"/>
  <c r="K71" i="16"/>
  <c r="I72" i="16"/>
  <c r="K72" i="16"/>
  <c r="I73" i="16"/>
  <c r="K73" i="16"/>
  <c r="I74" i="16"/>
  <c r="K74" i="16"/>
  <c r="I75" i="16"/>
  <c r="K75" i="16"/>
  <c r="I76" i="16"/>
  <c r="K76" i="16"/>
  <c r="I77" i="16"/>
  <c r="K77" i="16"/>
  <c r="I78" i="16"/>
  <c r="K78" i="16"/>
  <c r="I79" i="16"/>
  <c r="K79" i="16"/>
  <c r="I80" i="16"/>
  <c r="K80" i="16"/>
  <c r="I91" i="16"/>
  <c r="K91" i="16"/>
  <c r="I92" i="16"/>
  <c r="K92" i="16"/>
  <c r="I93" i="16"/>
  <c r="K93" i="16"/>
  <c r="I94" i="16"/>
  <c r="K94" i="16"/>
  <c r="I95" i="16"/>
  <c r="K95" i="16"/>
  <c r="I96" i="16"/>
  <c r="K96" i="16"/>
  <c r="I97" i="16"/>
  <c r="K97" i="16"/>
  <c r="I99" i="16"/>
  <c r="K99" i="16"/>
  <c r="I100" i="16"/>
  <c r="K100" i="16"/>
  <c r="I101" i="16"/>
  <c r="K101" i="16"/>
  <c r="I102" i="16"/>
  <c r="K102" i="16"/>
  <c r="I103" i="16"/>
  <c r="K103" i="16"/>
  <c r="I104" i="16"/>
  <c r="K104" i="16"/>
  <c r="I105" i="16"/>
  <c r="K105" i="16"/>
  <c r="I106" i="16"/>
  <c r="K106" i="16"/>
  <c r="I107" i="16"/>
  <c r="K107" i="16"/>
  <c r="I108" i="16"/>
  <c r="K108" i="16"/>
  <c r="I109" i="16"/>
  <c r="K109" i="16"/>
  <c r="I110" i="16"/>
  <c r="K110" i="16"/>
  <c r="I111" i="16"/>
  <c r="K111" i="16"/>
  <c r="I112" i="16"/>
  <c r="K112" i="16"/>
  <c r="I113" i="16"/>
  <c r="K113" i="16"/>
  <c r="I114" i="16"/>
  <c r="K114" i="16"/>
  <c r="I115" i="16"/>
  <c r="K115" i="16"/>
  <c r="I116" i="16"/>
  <c r="K116" i="16"/>
  <c r="I117" i="16"/>
  <c r="K117" i="16"/>
  <c r="I118" i="16"/>
  <c r="K118" i="16"/>
  <c r="I119" i="16"/>
  <c r="K119" i="16"/>
  <c r="I120" i="16"/>
  <c r="K120" i="16"/>
  <c r="I121" i="16"/>
  <c r="K121" i="16"/>
  <c r="I122" i="16"/>
  <c r="K122" i="16"/>
  <c r="I123" i="16"/>
  <c r="K123" i="16"/>
  <c r="I124" i="16"/>
  <c r="K124" i="16"/>
  <c r="I125" i="16"/>
  <c r="K125" i="16"/>
  <c r="I126" i="16"/>
  <c r="K126" i="16"/>
  <c r="I127" i="16"/>
  <c r="K127" i="16"/>
  <c r="I128" i="16"/>
  <c r="K128" i="16"/>
  <c r="I129" i="16"/>
  <c r="K129" i="16"/>
  <c r="I130" i="16"/>
  <c r="K130" i="16"/>
  <c r="I131" i="16"/>
  <c r="K131" i="16"/>
  <c r="I132" i="16"/>
  <c r="K132" i="16"/>
  <c r="I133" i="16"/>
  <c r="K133" i="16"/>
  <c r="I134" i="16"/>
  <c r="K134" i="16"/>
  <c r="I135" i="16"/>
  <c r="K135" i="16"/>
  <c r="I136" i="16"/>
  <c r="K136" i="16"/>
  <c r="I137" i="16"/>
  <c r="K137" i="16"/>
  <c r="I138" i="16"/>
  <c r="K138" i="16"/>
  <c r="I139" i="16"/>
  <c r="K139" i="16"/>
  <c r="I140" i="16"/>
  <c r="K140" i="16"/>
  <c r="I141" i="16"/>
  <c r="K141" i="16"/>
  <c r="I142" i="16"/>
  <c r="K142" i="16"/>
  <c r="I143" i="16"/>
  <c r="K143" i="16"/>
  <c r="I144" i="16"/>
  <c r="K144" i="16"/>
  <c r="I145" i="16"/>
  <c r="K145" i="16"/>
  <c r="I146" i="16"/>
  <c r="K146" i="16"/>
  <c r="I147" i="16"/>
  <c r="K147" i="16"/>
  <c r="I148" i="16"/>
  <c r="K148" i="16"/>
  <c r="I149" i="16"/>
  <c r="K149" i="16"/>
  <c r="I150" i="16"/>
  <c r="K150" i="16"/>
  <c r="I151" i="16"/>
  <c r="K151" i="16"/>
  <c r="I152" i="16"/>
  <c r="K152" i="16"/>
  <c r="I153" i="16"/>
  <c r="K153" i="16"/>
  <c r="I154" i="16"/>
  <c r="K154" i="16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71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D24" i="10"/>
  <c r="E24" i="10"/>
  <c r="E25" i="10"/>
  <c r="D30" i="10"/>
  <c r="E30" i="10"/>
  <c r="E31" i="10"/>
  <c r="D26" i="10"/>
  <c r="E26" i="10"/>
  <c r="E27" i="10"/>
  <c r="D32" i="10"/>
  <c r="E32" i="10"/>
  <c r="E33" i="10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67" i="7"/>
  <c r="H68" i="7"/>
  <c r="H71" i="7"/>
  <c r="H72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E16" i="7"/>
  <c r="G16" i="7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115" i="1"/>
  <c r="H115" i="1" s="1"/>
  <c r="F116" i="1"/>
  <c r="H116" i="1" s="1"/>
  <c r="E14" i="7"/>
  <c r="G14" i="7" s="1"/>
  <c r="E15" i="7"/>
  <c r="G15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67" i="7"/>
  <c r="G67" i="7" s="1"/>
  <c r="E68" i="7"/>
  <c r="G68" i="7" s="1"/>
  <c r="E71" i="7"/>
  <c r="G71" i="7" s="1"/>
  <c r="E72" i="7"/>
  <c r="G72" i="7" s="1"/>
  <c r="E74" i="7"/>
  <c r="G74" i="7" s="1"/>
  <c r="E75" i="7"/>
  <c r="G75" i="7" s="1"/>
  <c r="E76" i="7"/>
  <c r="G76" i="7" s="1"/>
  <c r="E77" i="7"/>
  <c r="G77" i="7" s="1"/>
  <c r="E78" i="7"/>
  <c r="G78" i="7" s="1"/>
  <c r="E79" i="7"/>
  <c r="G79" i="7" s="1"/>
  <c r="E80" i="7"/>
  <c r="G80" i="7" s="1"/>
  <c r="E81" i="7"/>
  <c r="G81" i="7" s="1"/>
  <c r="E82" i="7"/>
  <c r="G82" i="7" s="1"/>
  <c r="E83" i="7"/>
  <c r="G83" i="7" s="1"/>
  <c r="E84" i="7"/>
  <c r="G84" i="7" s="1"/>
  <c r="E85" i="7"/>
  <c r="G85" i="7" s="1"/>
  <c r="E86" i="7"/>
  <c r="G86" i="7" s="1"/>
  <c r="E87" i="7"/>
  <c r="G87" i="7" s="1"/>
  <c r="E88" i="7"/>
  <c r="G88" i="7" s="1"/>
  <c r="E89" i="7"/>
  <c r="G89" i="7" s="1"/>
  <c r="E90" i="7"/>
  <c r="G90" i="7" s="1"/>
  <c r="E91" i="7"/>
  <c r="G91" i="7" s="1"/>
  <c r="E92" i="7"/>
  <c r="G92" i="7" s="1"/>
  <c r="E93" i="7"/>
  <c r="G93" i="7" s="1"/>
  <c r="E94" i="7"/>
  <c r="G94" i="7" s="1"/>
  <c r="E95" i="7"/>
  <c r="G95" i="7" s="1"/>
  <c r="E96" i="7"/>
  <c r="G96" i="7" s="1"/>
  <c r="E97" i="7"/>
  <c r="G97" i="7" s="1"/>
  <c r="E98" i="7"/>
  <c r="G98" i="7" s="1"/>
  <c r="E99" i="7"/>
  <c r="G99" i="7" s="1"/>
  <c r="E100" i="7"/>
  <c r="G100" i="7" s="1"/>
  <c r="E101" i="7"/>
  <c r="G101" i="7" s="1"/>
  <c r="E102" i="7"/>
  <c r="G102" i="7" s="1"/>
  <c r="E103" i="7"/>
  <c r="G103" i="7" s="1"/>
  <c r="E104" i="7"/>
  <c r="G104" i="7" s="1"/>
  <c r="E105" i="7"/>
  <c r="G105" i="7" s="1"/>
  <c r="E106" i="7"/>
  <c r="G106" i="7" s="1"/>
  <c r="E107" i="7"/>
  <c r="G107" i="7" s="1"/>
  <c r="E108" i="7"/>
  <c r="G108" i="7" s="1"/>
  <c r="E109" i="7"/>
  <c r="G109" i="7" s="1"/>
  <c r="E110" i="7"/>
  <c r="G110" i="7" s="1"/>
  <c r="E111" i="7"/>
  <c r="G111" i="7" s="1"/>
  <c r="E112" i="7"/>
  <c r="G112" i="7" s="1"/>
  <c r="E113" i="7"/>
  <c r="G113" i="7" s="1"/>
  <c r="E114" i="7"/>
  <c r="G114" i="7" s="1"/>
  <c r="E115" i="7"/>
  <c r="G115" i="7" s="1"/>
  <c r="E116" i="7"/>
  <c r="G116" i="7" s="1"/>
  <c r="E117" i="7"/>
  <c r="G117" i="7" s="1"/>
  <c r="E118" i="7"/>
  <c r="G118" i="7" s="1"/>
  <c r="E119" i="7"/>
  <c r="G119" i="7" s="1"/>
  <c r="E120" i="7"/>
  <c r="G120" i="7" s="1"/>
  <c r="E121" i="7"/>
  <c r="G121" i="7" s="1"/>
  <c r="E122" i="7"/>
  <c r="G122" i="7" s="1"/>
  <c r="E123" i="7"/>
  <c r="G123" i="7" s="1"/>
  <c r="E124" i="7"/>
  <c r="G124" i="7" s="1"/>
  <c r="E125" i="7"/>
  <c r="G125" i="7" s="1"/>
  <c r="E126" i="7"/>
  <c r="G126" i="7" s="1"/>
  <c r="E127" i="7"/>
  <c r="G127" i="7" s="1"/>
  <c r="E128" i="7"/>
  <c r="G128" i="7" s="1"/>
  <c r="E129" i="7"/>
  <c r="G129" i="7" s="1"/>
  <c r="E130" i="7"/>
  <c r="G130" i="7" s="1"/>
  <c r="E131" i="7"/>
  <c r="G131" i="7" s="1"/>
  <c r="E132" i="7"/>
  <c r="G132" i="7" s="1"/>
  <c r="E133" i="7"/>
  <c r="G133" i="7" s="1"/>
  <c r="E134" i="7"/>
  <c r="G134" i="7" s="1"/>
  <c r="E135" i="7"/>
  <c r="G135" i="7" s="1"/>
  <c r="E136" i="7"/>
  <c r="G136" i="7" s="1"/>
  <c r="E137" i="7"/>
  <c r="G137" i="7" s="1"/>
  <c r="E138" i="7"/>
  <c r="G138" i="7" s="1"/>
  <c r="E139" i="7"/>
  <c r="G139" i="7" s="1"/>
  <c r="E140" i="7"/>
  <c r="G140" i="7" s="1"/>
  <c r="E141" i="7"/>
  <c r="G141" i="7" s="1"/>
  <c r="E142" i="7"/>
  <c r="G142" i="7" s="1"/>
  <c r="E143" i="7"/>
  <c r="G143" i="7" s="1"/>
  <c r="E144" i="7"/>
  <c r="G144" i="7" s="1"/>
  <c r="E145" i="7"/>
  <c r="G145" i="7" s="1"/>
  <c r="E146" i="7"/>
  <c r="G146" i="7" s="1"/>
  <c r="E147" i="7"/>
  <c r="G147" i="7" s="1"/>
  <c r="E148" i="7"/>
  <c r="G148" i="7" s="1"/>
  <c r="F17" i="1"/>
  <c r="H17" i="1" s="1"/>
  <c r="H48" i="1"/>
  <c r="B19" i="10"/>
  <c r="B20" i="10"/>
  <c r="B21" i="10" s="1"/>
  <c r="F16" i="1"/>
  <c r="F18" i="1"/>
  <c r="H18" i="1" s="1"/>
  <c r="I16" i="1"/>
  <c r="I17" i="1"/>
  <c r="I18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B12" i="10"/>
  <c r="B16" i="10" s="1"/>
  <c r="I16" i="19"/>
  <c r="C15" i="22"/>
  <c r="C32" i="22"/>
  <c r="B17" i="22"/>
  <c r="I14" i="19"/>
  <c r="K14" i="19" s="1"/>
  <c r="M14" i="19" s="1"/>
  <c r="C124" i="26"/>
  <c r="D123" i="26"/>
  <c r="F11" i="21"/>
  <c r="B12" i="22"/>
  <c r="B13" i="22"/>
  <c r="B30" i="22"/>
  <c r="B31" i="22"/>
  <c r="C88" i="26"/>
  <c r="C92" i="26"/>
  <c r="C112" i="26"/>
  <c r="C114" i="26"/>
  <c r="C117" i="26"/>
  <c r="C120" i="26"/>
  <c r="C122" i="26"/>
  <c r="C126" i="26"/>
  <c r="C53" i="26"/>
  <c r="C59" i="26"/>
  <c r="C64" i="26"/>
  <c r="C69" i="26"/>
  <c r="C74" i="26"/>
  <c r="C113" i="26"/>
  <c r="C118" i="26"/>
  <c r="C125" i="26"/>
  <c r="C79" i="26"/>
  <c r="C49" i="26"/>
  <c r="K16" i="19" l="1"/>
  <c r="M16" i="19" s="1"/>
  <c r="C5" i="22"/>
  <c r="S22" i="22"/>
  <c r="O22" i="22"/>
  <c r="K22" i="22"/>
  <c r="G22" i="22"/>
  <c r="C9" i="22"/>
  <c r="I22" i="19"/>
  <c r="K22" i="19" s="1"/>
  <c r="M22" i="19" s="1"/>
  <c r="R22" i="22"/>
  <c r="N22" i="22"/>
  <c r="J22" i="22"/>
  <c r="F22" i="22"/>
  <c r="I25" i="19"/>
  <c r="K25" i="19" s="1"/>
  <c r="M25" i="19" s="1"/>
  <c r="I20" i="19"/>
  <c r="K20" i="19" s="1"/>
  <c r="F33" i="10"/>
  <c r="I34" i="19"/>
  <c r="K34" i="19" s="1"/>
  <c r="M34" i="19" s="1"/>
  <c r="L34" i="19" s="1"/>
  <c r="I21" i="19"/>
  <c r="K21" i="19" s="1"/>
  <c r="M21" i="19" s="1"/>
  <c r="L21" i="19" s="1"/>
  <c r="I36" i="19"/>
  <c r="K36" i="19" s="1"/>
  <c r="M36" i="19" s="1"/>
  <c r="L36" i="19" s="1"/>
  <c r="I17" i="19"/>
  <c r="K17" i="19" s="1"/>
  <c r="I33" i="19"/>
  <c r="K33" i="19" s="1"/>
  <c r="M33" i="19" s="1"/>
  <c r="L33" i="19" s="1"/>
  <c r="I32" i="19"/>
  <c r="K32" i="19" s="1"/>
  <c r="M32" i="19" s="1"/>
  <c r="L32" i="19" s="1"/>
  <c r="F11" i="1"/>
  <c r="D18" i="26" s="1"/>
  <c r="C80" i="26"/>
  <c r="C83" i="26"/>
  <c r="C87" i="26"/>
  <c r="C86" i="26" s="1"/>
  <c r="D8" i="7"/>
  <c r="D10" i="7"/>
  <c r="D135" i="26"/>
  <c r="D134" i="26"/>
  <c r="H16" i="1"/>
  <c r="F32" i="10"/>
  <c r="F25" i="10"/>
  <c r="F27" i="10"/>
  <c r="I18" i="19"/>
  <c r="K18" i="19" s="1"/>
  <c r="I26" i="19"/>
  <c r="K26" i="19" s="1"/>
  <c r="M26" i="19" s="1"/>
  <c r="I19" i="19"/>
  <c r="K19" i="19" s="1"/>
  <c r="M19" i="19" s="1"/>
  <c r="L19" i="19" s="1"/>
  <c r="L16" i="19"/>
  <c r="F24" i="10"/>
  <c r="F31" i="10"/>
  <c r="L69" i="16"/>
  <c r="M69" i="16" s="1"/>
  <c r="I24" i="19"/>
  <c r="K24" i="19" s="1"/>
  <c r="M24" i="19" s="1"/>
  <c r="L24" i="19" s="1"/>
  <c r="L14" i="19"/>
  <c r="L106" i="16"/>
  <c r="M106" i="16" s="1"/>
  <c r="L22" i="19"/>
  <c r="I27" i="19"/>
  <c r="K27" i="19" s="1"/>
  <c r="M27" i="19" s="1"/>
  <c r="C123" i="26"/>
  <c r="I15" i="19"/>
  <c r="K15" i="19" s="1"/>
  <c r="M15" i="19" s="1"/>
  <c r="I23" i="19"/>
  <c r="K23" i="19" s="1"/>
  <c r="M23" i="19" s="1"/>
  <c r="L23" i="19" s="1"/>
  <c r="I35" i="19"/>
  <c r="K35" i="19" s="1"/>
  <c r="M35" i="19" s="1"/>
  <c r="L35" i="19" s="1"/>
  <c r="L150" i="16"/>
  <c r="O150" i="16" s="1"/>
  <c r="L136" i="16"/>
  <c r="M136" i="16" s="1"/>
  <c r="N136" i="16" s="1"/>
  <c r="L139" i="16"/>
  <c r="O139" i="16" s="1"/>
  <c r="L137" i="16"/>
  <c r="M137" i="16" s="1"/>
  <c r="N137" i="16" s="1"/>
  <c r="L129" i="16"/>
  <c r="O129" i="16" s="1"/>
  <c r="L127" i="16"/>
  <c r="O127" i="16" s="1"/>
  <c r="L99" i="16"/>
  <c r="M99" i="16" s="1"/>
  <c r="N99" i="16" s="1"/>
  <c r="L94" i="16"/>
  <c r="M94" i="16" s="1"/>
  <c r="N94" i="16" s="1"/>
  <c r="L76" i="16"/>
  <c r="M76" i="16" s="1"/>
  <c r="N76" i="16" s="1"/>
  <c r="L50" i="16"/>
  <c r="O50" i="16" s="1"/>
  <c r="L36" i="16"/>
  <c r="M36" i="16" s="1"/>
  <c r="N36" i="16" s="1"/>
  <c r="L116" i="18"/>
  <c r="M116" i="18" s="1"/>
  <c r="N116" i="18" s="1"/>
  <c r="L117" i="18"/>
  <c r="O117" i="18" s="1"/>
  <c r="L118" i="18"/>
  <c r="O118" i="18" s="1"/>
  <c r="L119" i="18"/>
  <c r="O119" i="18" s="1"/>
  <c r="L120" i="18"/>
  <c r="O120" i="18" s="1"/>
  <c r="L121" i="18"/>
  <c r="M121" i="18" s="1"/>
  <c r="N121" i="18" s="1"/>
  <c r="L122" i="18"/>
  <c r="O122" i="18" s="1"/>
  <c r="L123" i="18"/>
  <c r="O123" i="18" s="1"/>
  <c r="L124" i="18"/>
  <c r="M124" i="18" s="1"/>
  <c r="N124" i="18" s="1"/>
  <c r="L125" i="18"/>
  <c r="O125" i="18" s="1"/>
  <c r="L126" i="18"/>
  <c r="M126" i="18" s="1"/>
  <c r="N126" i="18" s="1"/>
  <c r="L127" i="18"/>
  <c r="M127" i="18" s="1"/>
  <c r="N127" i="18" s="1"/>
  <c r="L128" i="18"/>
  <c r="O128" i="18" s="1"/>
  <c r="L129" i="18"/>
  <c r="O129" i="18" s="1"/>
  <c r="L130" i="18"/>
  <c r="M130" i="18" s="1"/>
  <c r="N130" i="18" s="1"/>
  <c r="L131" i="18"/>
  <c r="M131" i="18" s="1"/>
  <c r="N131" i="18" s="1"/>
  <c r="L132" i="18"/>
  <c r="O132" i="18" s="1"/>
  <c r="L133" i="18"/>
  <c r="M133" i="18" s="1"/>
  <c r="N133" i="18" s="1"/>
  <c r="L134" i="18"/>
  <c r="O134" i="18" s="1"/>
  <c r="L135" i="18"/>
  <c r="O135" i="18" s="1"/>
  <c r="L136" i="18"/>
  <c r="M136" i="18" s="1"/>
  <c r="N136" i="18" s="1"/>
  <c r="L137" i="18"/>
  <c r="M137" i="18" s="1"/>
  <c r="N137" i="18" s="1"/>
  <c r="L138" i="18"/>
  <c r="M138" i="18" s="1"/>
  <c r="N138" i="18" s="1"/>
  <c r="L139" i="18"/>
  <c r="M139" i="18" s="1"/>
  <c r="N139" i="18" s="1"/>
  <c r="L140" i="18"/>
  <c r="O140" i="18" s="1"/>
  <c r="M129" i="18"/>
  <c r="L10" i="18"/>
  <c r="O10" i="18" s="1"/>
  <c r="L11" i="18"/>
  <c r="O11" i="18" s="1"/>
  <c r="L12" i="18"/>
  <c r="O12" i="18" s="1"/>
  <c r="L13" i="18"/>
  <c r="O13" i="18" s="1"/>
  <c r="L14" i="18"/>
  <c r="M14" i="18" s="1"/>
  <c r="N14" i="18" s="1"/>
  <c r="L15" i="18"/>
  <c r="M15" i="18" s="1"/>
  <c r="N15" i="18" s="1"/>
  <c r="L16" i="18"/>
  <c r="O16" i="18" s="1"/>
  <c r="L17" i="18"/>
  <c r="O17" i="18" s="1"/>
  <c r="L18" i="18"/>
  <c r="M18" i="18" s="1"/>
  <c r="N18" i="18" s="1"/>
  <c r="L19" i="18"/>
  <c r="O19" i="18" s="1"/>
  <c r="L20" i="18"/>
  <c r="O20" i="18" s="1"/>
  <c r="L21" i="18"/>
  <c r="O21" i="18" s="1"/>
  <c r="L22" i="18"/>
  <c r="M22" i="18" s="1"/>
  <c r="N22" i="18" s="1"/>
  <c r="L23" i="18"/>
  <c r="O23" i="18" s="1"/>
  <c r="L24" i="18"/>
  <c r="O24" i="18" s="1"/>
  <c r="L25" i="18"/>
  <c r="O25" i="18" s="1"/>
  <c r="L26" i="18"/>
  <c r="M26" i="18" s="1"/>
  <c r="N26" i="18" s="1"/>
  <c r="L27" i="18"/>
  <c r="M27" i="18" s="1"/>
  <c r="N27" i="18" s="1"/>
  <c r="L28" i="18"/>
  <c r="M28" i="18" s="1"/>
  <c r="N28" i="18" s="1"/>
  <c r="L29" i="18"/>
  <c r="O29" i="18" s="1"/>
  <c r="L30" i="18"/>
  <c r="M30" i="18" s="1"/>
  <c r="N30" i="18" s="1"/>
  <c r="L31" i="18"/>
  <c r="M31" i="18" s="1"/>
  <c r="N31" i="18" s="1"/>
  <c r="L32" i="18"/>
  <c r="O32" i="18" s="1"/>
  <c r="L33" i="18"/>
  <c r="O33" i="18" s="1"/>
  <c r="L34" i="18"/>
  <c r="M34" i="18" s="1"/>
  <c r="N34" i="18" s="1"/>
  <c r="L35" i="18"/>
  <c r="M35" i="18" s="1"/>
  <c r="N35" i="18" s="1"/>
  <c r="L36" i="18"/>
  <c r="M36" i="18" s="1"/>
  <c r="N36" i="18" s="1"/>
  <c r="L37" i="18"/>
  <c r="M37" i="18" s="1"/>
  <c r="N37" i="18" s="1"/>
  <c r="L38" i="18"/>
  <c r="O38" i="18" s="1"/>
  <c r="L39" i="18"/>
  <c r="M39" i="18" s="1"/>
  <c r="N39" i="18" s="1"/>
  <c r="L40" i="18"/>
  <c r="O40" i="18" s="1"/>
  <c r="L41" i="18"/>
  <c r="M41" i="18" s="1"/>
  <c r="N41" i="18" s="1"/>
  <c r="L42" i="18"/>
  <c r="M42" i="18" s="1"/>
  <c r="N42" i="18" s="1"/>
  <c r="L43" i="18"/>
  <c r="O43" i="18" s="1"/>
  <c r="L44" i="18"/>
  <c r="O44" i="18" s="1"/>
  <c r="L45" i="18"/>
  <c r="M45" i="18" s="1"/>
  <c r="N45" i="18" s="1"/>
  <c r="L46" i="18"/>
  <c r="O46" i="18" s="1"/>
  <c r="L47" i="18"/>
  <c r="M47" i="18" s="1"/>
  <c r="N47" i="18" s="1"/>
  <c r="L48" i="18"/>
  <c r="O48" i="18" s="1"/>
  <c r="L49" i="18"/>
  <c r="O49" i="18" s="1"/>
  <c r="L50" i="18"/>
  <c r="M50" i="18" s="1"/>
  <c r="N50" i="18" s="1"/>
  <c r="L51" i="18"/>
  <c r="M51" i="18" s="1"/>
  <c r="N51" i="18" s="1"/>
  <c r="L52" i="18"/>
  <c r="M52" i="18" s="1"/>
  <c r="N52" i="18" s="1"/>
  <c r="L53" i="18"/>
  <c r="M53" i="18" s="1"/>
  <c r="N53" i="18" s="1"/>
  <c r="L54" i="18"/>
  <c r="O54" i="18" s="1"/>
  <c r="L55" i="18"/>
  <c r="M55" i="18" s="1"/>
  <c r="N55" i="18" s="1"/>
  <c r="L56" i="18"/>
  <c r="O56" i="18" s="1"/>
  <c r="L57" i="18"/>
  <c r="O57" i="18" s="1"/>
  <c r="L58" i="18"/>
  <c r="M58" i="18" s="1"/>
  <c r="L59" i="18"/>
  <c r="O59" i="18" s="1"/>
  <c r="L60" i="18"/>
  <c r="M60" i="18" s="1"/>
  <c r="N60" i="18" s="1"/>
  <c r="L61" i="18"/>
  <c r="M61" i="18" s="1"/>
  <c r="N61" i="18" s="1"/>
  <c r="L62" i="18"/>
  <c r="O62" i="18" s="1"/>
  <c r="L63" i="18"/>
  <c r="O63" i="18" s="1"/>
  <c r="L64" i="18"/>
  <c r="M64" i="18" s="1"/>
  <c r="N64" i="18" s="1"/>
  <c r="L65" i="18"/>
  <c r="O65" i="18" s="1"/>
  <c r="L66" i="18"/>
  <c r="M66" i="18" s="1"/>
  <c r="N66" i="18" s="1"/>
  <c r="L67" i="18"/>
  <c r="M67" i="18" s="1"/>
  <c r="N67" i="18" s="1"/>
  <c r="L68" i="18"/>
  <c r="O68" i="18" s="1"/>
  <c r="L70" i="18"/>
  <c r="O70" i="18" s="1"/>
  <c r="L71" i="18"/>
  <c r="O71" i="18" s="1"/>
  <c r="L72" i="18"/>
  <c r="O72" i="18" s="1"/>
  <c r="L73" i="18"/>
  <c r="M73" i="18" s="1"/>
  <c r="N73" i="18" s="1"/>
  <c r="L74" i="18"/>
  <c r="M74" i="18" s="1"/>
  <c r="L75" i="18"/>
  <c r="O75" i="18" s="1"/>
  <c r="L76" i="18"/>
  <c r="M76" i="18" s="1"/>
  <c r="N76" i="18" s="1"/>
  <c r="L77" i="18"/>
  <c r="O77" i="18" s="1"/>
  <c r="L78" i="18"/>
  <c r="O78" i="18" s="1"/>
  <c r="L79" i="18"/>
  <c r="O79" i="18" s="1"/>
  <c r="L80" i="18"/>
  <c r="M80" i="18" s="1"/>
  <c r="N80" i="18" s="1"/>
  <c r="L81" i="18"/>
  <c r="O81" i="18" s="1"/>
  <c r="L82" i="18"/>
  <c r="O82" i="18" s="1"/>
  <c r="L83" i="18"/>
  <c r="M83" i="18" s="1"/>
  <c r="N83" i="18" s="1"/>
  <c r="L84" i="18"/>
  <c r="M84" i="18" s="1"/>
  <c r="N84" i="18" s="1"/>
  <c r="L85" i="18"/>
  <c r="M85" i="18" s="1"/>
  <c r="N85" i="18" s="1"/>
  <c r="L86" i="18"/>
  <c r="O86" i="18" s="1"/>
  <c r="L87" i="18"/>
  <c r="O87" i="18" s="1"/>
  <c r="L88" i="18"/>
  <c r="M88" i="18" s="1"/>
  <c r="N88" i="18" s="1"/>
  <c r="L89" i="18"/>
  <c r="M89" i="18" s="1"/>
  <c r="N89" i="18" s="1"/>
  <c r="L90" i="18"/>
  <c r="M90" i="18" s="1"/>
  <c r="N90" i="18" s="1"/>
  <c r="L91" i="18"/>
  <c r="M91" i="18" s="1"/>
  <c r="N91" i="18" s="1"/>
  <c r="L92" i="18"/>
  <c r="O92" i="18" s="1"/>
  <c r="L93" i="18"/>
  <c r="O93" i="18" s="1"/>
  <c r="L94" i="18"/>
  <c r="M94" i="18" s="1"/>
  <c r="N94" i="18" s="1"/>
  <c r="L95" i="18"/>
  <c r="M95" i="18" s="1"/>
  <c r="N95" i="18" s="1"/>
  <c r="L96" i="18"/>
  <c r="O96" i="18" s="1"/>
  <c r="L97" i="18"/>
  <c r="M97" i="18" s="1"/>
  <c r="N97" i="18" s="1"/>
  <c r="L98" i="18"/>
  <c r="M98" i="18" s="1"/>
  <c r="N98" i="18" s="1"/>
  <c r="L99" i="18"/>
  <c r="M99" i="18" s="1"/>
  <c r="L100" i="18"/>
  <c r="O100" i="18" s="1"/>
  <c r="L101" i="18"/>
  <c r="M101" i="18" s="1"/>
  <c r="N101" i="18" s="1"/>
  <c r="L102" i="18"/>
  <c r="O102" i="18" s="1"/>
  <c r="L103" i="18"/>
  <c r="O103" i="18" s="1"/>
  <c r="L104" i="18"/>
  <c r="M104" i="18" s="1"/>
  <c r="N104" i="18" s="1"/>
  <c r="L105" i="18"/>
  <c r="O105" i="18" s="1"/>
  <c r="L106" i="18"/>
  <c r="M106" i="18" s="1"/>
  <c r="N106" i="18" s="1"/>
  <c r="L107" i="18"/>
  <c r="O107" i="18" s="1"/>
  <c r="L108" i="18"/>
  <c r="O108" i="18" s="1"/>
  <c r="L109" i="18"/>
  <c r="O109" i="18" s="1"/>
  <c r="L110" i="18"/>
  <c r="M110" i="18" s="1"/>
  <c r="N110" i="18" s="1"/>
  <c r="L111" i="18"/>
  <c r="O111" i="18" s="1"/>
  <c r="L112" i="18"/>
  <c r="M112" i="18" s="1"/>
  <c r="N112" i="18" s="1"/>
  <c r="L113" i="18"/>
  <c r="M113" i="18" s="1"/>
  <c r="N113" i="18" s="1"/>
  <c r="L114" i="18"/>
  <c r="O114" i="18" s="1"/>
  <c r="L115" i="18"/>
  <c r="O115" i="18" s="1"/>
  <c r="O27" i="18"/>
  <c r="M141" i="18"/>
  <c r="N141" i="18" s="1"/>
  <c r="O141" i="18"/>
  <c r="L185" i="16"/>
  <c r="O185" i="16" s="1"/>
  <c r="L184" i="16"/>
  <c r="M184" i="16" s="1"/>
  <c r="N184" i="16" s="1"/>
  <c r="L183" i="16"/>
  <c r="O183" i="16" s="1"/>
  <c r="L182" i="16"/>
  <c r="M182" i="16" s="1"/>
  <c r="L181" i="16"/>
  <c r="M181" i="16" s="1"/>
  <c r="N181" i="16" s="1"/>
  <c r="L180" i="16"/>
  <c r="M180" i="16" s="1"/>
  <c r="N180" i="16" s="1"/>
  <c r="L179" i="16"/>
  <c r="O179" i="16" s="1"/>
  <c r="L178" i="16"/>
  <c r="M178" i="16" s="1"/>
  <c r="L177" i="16"/>
  <c r="M177" i="16" s="1"/>
  <c r="N177" i="16" s="1"/>
  <c r="L170" i="16"/>
  <c r="O170" i="16" s="1"/>
  <c r="L169" i="16"/>
  <c r="M169" i="16" s="1"/>
  <c r="N169" i="16" s="1"/>
  <c r="L158" i="16"/>
  <c r="M158" i="16" s="1"/>
  <c r="N158" i="16" s="1"/>
  <c r="L157" i="16"/>
  <c r="O157" i="16" s="1"/>
  <c r="L156" i="16"/>
  <c r="M156" i="16" s="1"/>
  <c r="N156" i="16" s="1"/>
  <c r="L155" i="16"/>
  <c r="M155" i="16" s="1"/>
  <c r="L118" i="16"/>
  <c r="O118" i="16" s="1"/>
  <c r="L63" i="16"/>
  <c r="M63" i="16" s="1"/>
  <c r="N63" i="16" s="1"/>
  <c r="L112" i="16"/>
  <c r="O112" i="16" s="1"/>
  <c r="L147" i="16"/>
  <c r="M147" i="16" s="1"/>
  <c r="N147" i="16" s="1"/>
  <c r="L135" i="16"/>
  <c r="O135" i="16" s="1"/>
  <c r="L123" i="16"/>
  <c r="O123" i="16" s="1"/>
  <c r="L115" i="16"/>
  <c r="M115" i="16" s="1"/>
  <c r="L111" i="16"/>
  <c r="M111" i="16" s="1"/>
  <c r="L103" i="16"/>
  <c r="M103" i="16" s="1"/>
  <c r="N103" i="16" s="1"/>
  <c r="L68" i="16"/>
  <c r="M68" i="16" s="1"/>
  <c r="L52" i="16"/>
  <c r="O52" i="16" s="1"/>
  <c r="L40" i="16"/>
  <c r="O40" i="16" s="1"/>
  <c r="L13" i="16"/>
  <c r="O13" i="16" s="1"/>
  <c r="L149" i="16"/>
  <c r="O149" i="16" s="1"/>
  <c r="L133" i="16"/>
  <c r="M133" i="16" s="1"/>
  <c r="N133" i="16" s="1"/>
  <c r="L125" i="16"/>
  <c r="M125" i="16" s="1"/>
  <c r="N125" i="16" s="1"/>
  <c r="L113" i="16"/>
  <c r="M113" i="16" s="1"/>
  <c r="N113" i="16" s="1"/>
  <c r="L109" i="16"/>
  <c r="O109" i="16" s="1"/>
  <c r="L105" i="16"/>
  <c r="O105" i="16" s="1"/>
  <c r="L101" i="16"/>
  <c r="O101" i="16" s="1"/>
  <c r="L96" i="16"/>
  <c r="O96" i="16" s="1"/>
  <c r="L92" i="16"/>
  <c r="O92" i="16" s="1"/>
  <c r="L78" i="16"/>
  <c r="M78" i="16" s="1"/>
  <c r="L70" i="16"/>
  <c r="O70" i="16" s="1"/>
  <c r="L62" i="16"/>
  <c r="O62" i="16" s="1"/>
  <c r="L46" i="16"/>
  <c r="M46" i="16" s="1"/>
  <c r="N46" i="16" s="1"/>
  <c r="L114" i="16"/>
  <c r="O114" i="16" s="1"/>
  <c r="L97" i="16"/>
  <c r="M97" i="16" s="1"/>
  <c r="N97" i="16" s="1"/>
  <c r="L47" i="16"/>
  <c r="M47" i="16" s="1"/>
  <c r="N47" i="16" s="1"/>
  <c r="L41" i="16"/>
  <c r="O41" i="16" s="1"/>
  <c r="L14" i="16"/>
  <c r="M14" i="16" s="1"/>
  <c r="N14" i="16" s="1"/>
  <c r="L144" i="16"/>
  <c r="O144" i="16" s="1"/>
  <c r="L140" i="16"/>
  <c r="M140" i="16" s="1"/>
  <c r="N140" i="16" s="1"/>
  <c r="L132" i="16"/>
  <c r="M132" i="16" s="1"/>
  <c r="N132" i="16" s="1"/>
  <c r="L128" i="16"/>
  <c r="O128" i="16" s="1"/>
  <c r="L124" i="16"/>
  <c r="O124" i="16" s="1"/>
  <c r="L65" i="16"/>
  <c r="O65" i="16" s="1"/>
  <c r="L61" i="16"/>
  <c r="O61" i="16" s="1"/>
  <c r="L57" i="16"/>
  <c r="O57" i="16" s="1"/>
  <c r="L53" i="16"/>
  <c r="O53" i="16" s="1"/>
  <c r="L45" i="16"/>
  <c r="O45" i="16" s="1"/>
  <c r="L154" i="16"/>
  <c r="M154" i="16" s="1"/>
  <c r="N154" i="16" s="1"/>
  <c r="L79" i="16"/>
  <c r="M79" i="16" s="1"/>
  <c r="N79" i="16" s="1"/>
  <c r="L75" i="16"/>
  <c r="M75" i="16" s="1"/>
  <c r="L67" i="16"/>
  <c r="M67" i="16" s="1"/>
  <c r="N67" i="16" s="1"/>
  <c r="L152" i="16"/>
  <c r="O152" i="16" s="1"/>
  <c r="L142" i="16"/>
  <c r="O142" i="16" s="1"/>
  <c r="L138" i="16"/>
  <c r="M138" i="16" s="1"/>
  <c r="L134" i="16"/>
  <c r="M134" i="16" s="1"/>
  <c r="N134" i="16" s="1"/>
  <c r="L130" i="16"/>
  <c r="M130" i="16" s="1"/>
  <c r="L66" i="16"/>
  <c r="O66" i="16" s="1"/>
  <c r="L44" i="16"/>
  <c r="M44" i="16" s="1"/>
  <c r="N44" i="16" s="1"/>
  <c r="C66" i="26"/>
  <c r="C15" i="26"/>
  <c r="L131" i="16"/>
  <c r="O131" i="16" s="1"/>
  <c r="L117" i="16"/>
  <c r="O117" i="16" s="1"/>
  <c r="L107" i="16"/>
  <c r="L58" i="16"/>
  <c r="O58" i="16" s="1"/>
  <c r="L48" i="16"/>
  <c r="O48" i="16" s="1"/>
  <c r="F30" i="10"/>
  <c r="L153" i="16"/>
  <c r="L151" i="16"/>
  <c r="M151" i="16" s="1"/>
  <c r="N151" i="16" s="1"/>
  <c r="L120" i="16"/>
  <c r="M120" i="16" s="1"/>
  <c r="N120" i="16" s="1"/>
  <c r="L116" i="16"/>
  <c r="M116" i="16" s="1"/>
  <c r="N116" i="16" s="1"/>
  <c r="L108" i="16"/>
  <c r="M108" i="16" s="1"/>
  <c r="N108" i="16" s="1"/>
  <c r="L51" i="16"/>
  <c r="M51" i="16" s="1"/>
  <c r="N51" i="16" s="1"/>
  <c r="L49" i="16"/>
  <c r="L11" i="16"/>
  <c r="M11" i="16" s="1"/>
  <c r="N11" i="16" s="1"/>
  <c r="L143" i="16"/>
  <c r="L121" i="16"/>
  <c r="L104" i="16"/>
  <c r="M104" i="16" s="1"/>
  <c r="N104" i="16" s="1"/>
  <c r="L100" i="16"/>
  <c r="M100" i="16" s="1"/>
  <c r="L95" i="16"/>
  <c r="M95" i="16" s="1"/>
  <c r="N95" i="16" s="1"/>
  <c r="L93" i="16"/>
  <c r="O93" i="16" s="1"/>
  <c r="L77" i="16"/>
  <c r="M77" i="16" s="1"/>
  <c r="N77" i="16" s="1"/>
  <c r="L71" i="16"/>
  <c r="L60" i="16"/>
  <c r="O60" i="16" s="1"/>
  <c r="L54" i="16"/>
  <c r="M54" i="16" s="1"/>
  <c r="N54" i="16" s="1"/>
  <c r="L38" i="16"/>
  <c r="M38" i="16" s="1"/>
  <c r="N38" i="16" s="1"/>
  <c r="L34" i="16"/>
  <c r="O34" i="16" s="1"/>
  <c r="L146" i="16"/>
  <c r="O146" i="16" s="1"/>
  <c r="L122" i="16"/>
  <c r="O122" i="16" s="1"/>
  <c r="L80" i="16"/>
  <c r="M80" i="16" s="1"/>
  <c r="N80" i="16" s="1"/>
  <c r="L72" i="16"/>
  <c r="O72" i="16" s="1"/>
  <c r="L59" i="16"/>
  <c r="M59" i="16" s="1"/>
  <c r="N59" i="16" s="1"/>
  <c r="L55" i="16"/>
  <c r="M55" i="16" s="1"/>
  <c r="N55" i="16" s="1"/>
  <c r="L37" i="16"/>
  <c r="M37" i="16" s="1"/>
  <c r="N37" i="16" s="1"/>
  <c r="L35" i="16"/>
  <c r="C62" i="26"/>
  <c r="D97" i="26"/>
  <c r="B24" i="22"/>
  <c r="D85" i="26"/>
  <c r="C85" i="26" s="1"/>
  <c r="B5" i="22"/>
  <c r="C24" i="22"/>
  <c r="C119" i="26"/>
  <c r="C99" i="26" s="1"/>
  <c r="D99" i="26" s="1"/>
  <c r="B4" i="9"/>
  <c r="F26" i="10"/>
  <c r="L148" i="16"/>
  <c r="M148" i="16" s="1"/>
  <c r="N148" i="16" s="1"/>
  <c r="L141" i="16"/>
  <c r="L126" i="16"/>
  <c r="L119" i="16"/>
  <c r="M119" i="16" s="1"/>
  <c r="N119" i="16" s="1"/>
  <c r="L110" i="16"/>
  <c r="O110" i="16" s="1"/>
  <c r="L102" i="16"/>
  <c r="M102" i="16" s="1"/>
  <c r="L74" i="16"/>
  <c r="M74" i="16" s="1"/>
  <c r="N74" i="16" s="1"/>
  <c r="L64" i="16"/>
  <c r="M64" i="16" s="1"/>
  <c r="N64" i="16" s="1"/>
  <c r="L42" i="16"/>
  <c r="O42" i="16" s="1"/>
  <c r="L39" i="16"/>
  <c r="O39" i="16" s="1"/>
  <c r="L12" i="16"/>
  <c r="B9" i="22"/>
  <c r="B15" i="22"/>
  <c r="L145" i="16"/>
  <c r="M145" i="16" s="1"/>
  <c r="N145" i="16" s="1"/>
  <c r="L91" i="16"/>
  <c r="L73" i="16"/>
  <c r="L56" i="16"/>
  <c r="M56" i="16" s="1"/>
  <c r="N56" i="16" s="1"/>
  <c r="L43" i="16"/>
  <c r="O43" i="16" s="1"/>
  <c r="L10" i="16"/>
  <c r="O10" i="16" s="1"/>
  <c r="D75" i="26"/>
  <c r="B54" i="9"/>
  <c r="D84" i="26"/>
  <c r="H73" i="7"/>
  <c r="D6" i="7" s="1"/>
  <c r="M20" i="19"/>
  <c r="L20" i="19" s="1"/>
  <c r="B32" i="22"/>
  <c r="C111" i="26"/>
  <c r="E73" i="7"/>
  <c r="D4" i="7"/>
  <c r="M18" i="19"/>
  <c r="L18" i="19" s="1"/>
  <c r="I25" i="1"/>
  <c r="F7" i="1" s="1"/>
  <c r="D33" i="26" s="1"/>
  <c r="D34" i="26" s="1"/>
  <c r="C34" i="26" s="1"/>
  <c r="F25" i="1"/>
  <c r="F4" i="1" s="1"/>
  <c r="D10" i="26" s="1"/>
  <c r="D11" i="26" s="1"/>
  <c r="C11" i="26" s="1"/>
  <c r="M17" i="19"/>
  <c r="L17" i="19" s="1"/>
  <c r="C57" i="26"/>
  <c r="D47" i="26"/>
  <c r="B30" i="9"/>
  <c r="O78" i="16" l="1"/>
  <c r="M123" i="16"/>
  <c r="N123" i="16" s="1"/>
  <c r="C22" i="22"/>
  <c r="D104" i="26" s="1"/>
  <c r="C104" i="26" s="1"/>
  <c r="L25" i="19"/>
  <c r="F12" i="1"/>
  <c r="D29" i="26" s="1"/>
  <c r="C47" i="26"/>
  <c r="C44" i="26" s="1"/>
  <c r="C43" i="26" s="1"/>
  <c r="C84" i="26"/>
  <c r="C97" i="26"/>
  <c r="C75" i="26"/>
  <c r="D39" i="26"/>
  <c r="D9" i="7"/>
  <c r="B8" i="10"/>
  <c r="L26" i="19"/>
  <c r="M120" i="18"/>
  <c r="N120" i="18" s="1"/>
  <c r="O75" i="16"/>
  <c r="O95" i="16"/>
  <c r="M144" i="16"/>
  <c r="N144" i="16" s="1"/>
  <c r="O99" i="16"/>
  <c r="M135" i="18"/>
  <c r="N135" i="18" s="1"/>
  <c r="M134" i="18"/>
  <c r="N134" i="18" s="1"/>
  <c r="N106" i="16"/>
  <c r="M128" i="18"/>
  <c r="N128" i="18" s="1"/>
  <c r="B7" i="10"/>
  <c r="D30" i="26" s="1"/>
  <c r="C30" i="26" s="1"/>
  <c r="M127" i="16"/>
  <c r="N127" i="16" s="1"/>
  <c r="M150" i="16"/>
  <c r="N150" i="16" s="1"/>
  <c r="O55" i="18"/>
  <c r="N75" i="16"/>
  <c r="O108" i="16"/>
  <c r="M70" i="16"/>
  <c r="N70" i="16" s="1"/>
  <c r="O42" i="18"/>
  <c r="M139" i="16"/>
  <c r="N139" i="16" s="1"/>
  <c r="O36" i="16"/>
  <c r="M17" i="18"/>
  <c r="N17" i="18" s="1"/>
  <c r="M82" i="18"/>
  <c r="N82" i="18" s="1"/>
  <c r="O181" i="16"/>
  <c r="O116" i="18"/>
  <c r="O115" i="16"/>
  <c r="O133" i="16"/>
  <c r="O137" i="16"/>
  <c r="O94" i="16"/>
  <c r="O64" i="18"/>
  <c r="O15" i="18"/>
  <c r="M62" i="18"/>
  <c r="N62" i="18" s="1"/>
  <c r="M118" i="16"/>
  <c r="N118" i="16" s="1"/>
  <c r="M68" i="18"/>
  <c r="N68" i="18" s="1"/>
  <c r="O51" i="18"/>
  <c r="O124" i="18"/>
  <c r="O36" i="18"/>
  <c r="M114" i="16"/>
  <c r="N114" i="16" s="1"/>
  <c r="M185" i="16"/>
  <c r="N185" i="16" s="1"/>
  <c r="M108" i="18"/>
  <c r="N108" i="18" s="1"/>
  <c r="O35" i="18"/>
  <c r="M86" i="18"/>
  <c r="N86" i="18" s="1"/>
  <c r="O85" i="18"/>
  <c r="O84" i="18"/>
  <c r="M114" i="18"/>
  <c r="N114" i="18" s="1"/>
  <c r="M70" i="18"/>
  <c r="N70" i="18" s="1"/>
  <c r="M57" i="18"/>
  <c r="N57" i="18" s="1"/>
  <c r="M125" i="18"/>
  <c r="N125" i="18" s="1"/>
  <c r="O41" i="18"/>
  <c r="N69" i="16"/>
  <c r="O68" i="16"/>
  <c r="M66" i="16"/>
  <c r="N66" i="16" s="1"/>
  <c r="O69" i="16"/>
  <c r="O94" i="18"/>
  <c r="O73" i="18"/>
  <c r="M65" i="18"/>
  <c r="N65" i="18" s="1"/>
  <c r="O50" i="18"/>
  <c r="O22" i="18"/>
  <c r="O126" i="18"/>
  <c r="O53" i="18"/>
  <c r="M12" i="18"/>
  <c r="N12" i="18" s="1"/>
  <c r="L27" i="19"/>
  <c r="O90" i="18"/>
  <c r="O59" i="16"/>
  <c r="M43" i="16"/>
  <c r="N43" i="16" s="1"/>
  <c r="O76" i="16"/>
  <c r="O106" i="18"/>
  <c r="M78" i="18"/>
  <c r="N78" i="18" s="1"/>
  <c r="O66" i="18"/>
  <c r="O61" i="18"/>
  <c r="M33" i="18"/>
  <c r="N33" i="18" s="1"/>
  <c r="M29" i="18"/>
  <c r="N29" i="18" s="1"/>
  <c r="O14" i="18"/>
  <c r="M157" i="16"/>
  <c r="N157" i="16" s="1"/>
  <c r="M41" i="16"/>
  <c r="N41" i="16" s="1"/>
  <c r="M87" i="18"/>
  <c r="N87" i="18" s="1"/>
  <c r="O83" i="18"/>
  <c r="M75" i="18"/>
  <c r="N75" i="18" s="1"/>
  <c r="M46" i="18"/>
  <c r="N46" i="18" s="1"/>
  <c r="M123" i="18"/>
  <c r="N123" i="18" s="1"/>
  <c r="M10" i="18"/>
  <c r="N10" i="18" s="1"/>
  <c r="O136" i="16"/>
  <c r="O58" i="18"/>
  <c r="M54" i="18"/>
  <c r="N54" i="18" s="1"/>
  <c r="M119" i="18"/>
  <c r="N119" i="18" s="1"/>
  <c r="O46" i="16"/>
  <c r="M110" i="16"/>
  <c r="N110" i="16" s="1"/>
  <c r="O106" i="16"/>
  <c r="M42" i="16"/>
  <c r="N42" i="16" s="1"/>
  <c r="M50" i="16"/>
  <c r="N50" i="16" s="1"/>
  <c r="M71" i="18"/>
  <c r="N71" i="18" s="1"/>
  <c r="O18" i="18"/>
  <c r="O127" i="18"/>
  <c r="O137" i="18"/>
  <c r="M128" i="16"/>
  <c r="N128" i="16" s="1"/>
  <c r="O104" i="18"/>
  <c r="O156" i="16"/>
  <c r="M112" i="16"/>
  <c r="N112" i="16" s="1"/>
  <c r="O177" i="16"/>
  <c r="O113" i="18"/>
  <c r="O101" i="18"/>
  <c r="O89" i="18"/>
  <c r="O121" i="18"/>
  <c r="M32" i="18"/>
  <c r="N32" i="18" s="1"/>
  <c r="O60" i="18"/>
  <c r="M24" i="18"/>
  <c r="N24" i="18" s="1"/>
  <c r="M117" i="18"/>
  <c r="N117" i="18" s="1"/>
  <c r="O97" i="18"/>
  <c r="M77" i="18"/>
  <c r="N77" i="18" s="1"/>
  <c r="O28" i="18"/>
  <c r="O148" i="16"/>
  <c r="M10" i="16"/>
  <c r="N10" i="16" s="1"/>
  <c r="M170" i="16"/>
  <c r="N170" i="16" s="1"/>
  <c r="O139" i="18"/>
  <c r="O67" i="16"/>
  <c r="O38" i="16"/>
  <c r="O140" i="16"/>
  <c r="O132" i="16"/>
  <c r="M149" i="16"/>
  <c r="N149" i="16" s="1"/>
  <c r="O158" i="16"/>
  <c r="O184" i="16"/>
  <c r="M109" i="18"/>
  <c r="N109" i="18" s="1"/>
  <c r="M105" i="18"/>
  <c r="N105" i="18" s="1"/>
  <c r="O98" i="18"/>
  <c r="M93" i="18"/>
  <c r="N93" i="18" s="1"/>
  <c r="O74" i="18"/>
  <c r="M56" i="18"/>
  <c r="N56" i="18" s="1"/>
  <c r="M48" i="18"/>
  <c r="N48" i="18" s="1"/>
  <c r="M44" i="18"/>
  <c r="N44" i="18" s="1"/>
  <c r="M20" i="18"/>
  <c r="N20" i="18" s="1"/>
  <c r="M13" i="18"/>
  <c r="N13" i="18" s="1"/>
  <c r="O45" i="18"/>
  <c r="M21" i="18"/>
  <c r="N21" i="18" s="1"/>
  <c r="L15" i="19"/>
  <c r="M92" i="16"/>
  <c r="N92" i="16" s="1"/>
  <c r="O182" i="16"/>
  <c r="O110" i="18"/>
  <c r="M81" i="18"/>
  <c r="N81" i="18" s="1"/>
  <c r="O52" i="18"/>
  <c r="M40" i="18"/>
  <c r="N40" i="18" s="1"/>
  <c r="M49" i="18"/>
  <c r="N49" i="18" s="1"/>
  <c r="M16" i="18"/>
  <c r="N16" i="18" s="1"/>
  <c r="O133" i="18"/>
  <c r="N100" i="16"/>
  <c r="M142" i="16"/>
  <c r="N142" i="16" s="1"/>
  <c r="M65" i="16"/>
  <c r="N65" i="16" s="1"/>
  <c r="O103" i="16"/>
  <c r="O180" i="16"/>
  <c r="M115" i="18"/>
  <c r="N115" i="18" s="1"/>
  <c r="M103" i="18"/>
  <c r="N103" i="18" s="1"/>
  <c r="O26" i="18"/>
  <c r="M79" i="18"/>
  <c r="N79" i="18" s="1"/>
  <c r="O34" i="18"/>
  <c r="O138" i="18"/>
  <c r="O130" i="18"/>
  <c r="O55" i="16"/>
  <c r="O11" i="16"/>
  <c r="M45" i="16"/>
  <c r="N45" i="16" s="1"/>
  <c r="M13" i="16"/>
  <c r="N13" i="16" s="1"/>
  <c r="M111" i="18"/>
  <c r="N111" i="18" s="1"/>
  <c r="O30" i="18"/>
  <c r="O47" i="16"/>
  <c r="O91" i="18"/>
  <c r="M38" i="18"/>
  <c r="N38" i="18" s="1"/>
  <c r="O64" i="16"/>
  <c r="O111" i="16"/>
  <c r="M129" i="16"/>
  <c r="N129" i="16" s="1"/>
  <c r="M53" i="16"/>
  <c r="N53" i="16" s="1"/>
  <c r="O178" i="16"/>
  <c r="N182" i="16"/>
  <c r="O112" i="18"/>
  <c r="M92" i="18"/>
  <c r="N92" i="18" s="1"/>
  <c r="O67" i="18"/>
  <c r="M122" i="18"/>
  <c r="N122" i="18" s="1"/>
  <c r="O47" i="18"/>
  <c r="O39" i="18"/>
  <c r="M23" i="18"/>
  <c r="N23" i="18" s="1"/>
  <c r="O131" i="18"/>
  <c r="N129" i="18"/>
  <c r="M131" i="16"/>
  <c r="N131" i="16" s="1"/>
  <c r="N178" i="16"/>
  <c r="M96" i="18"/>
  <c r="N96" i="18" s="1"/>
  <c r="M72" i="18"/>
  <c r="N72" i="18" s="1"/>
  <c r="M118" i="18"/>
  <c r="N118" i="18" s="1"/>
  <c r="M132" i="18"/>
  <c r="N132" i="18" s="1"/>
  <c r="O63" i="16"/>
  <c r="N155" i="16"/>
  <c r="M100" i="18"/>
  <c r="N100" i="18" s="1"/>
  <c r="M59" i="18"/>
  <c r="N59" i="18" s="1"/>
  <c r="M43" i="18"/>
  <c r="N43" i="18" s="1"/>
  <c r="M19" i="18"/>
  <c r="N19" i="18" s="1"/>
  <c r="N99" i="18"/>
  <c r="N58" i="18"/>
  <c r="M107" i="18"/>
  <c r="N107" i="18" s="1"/>
  <c r="M63" i="18"/>
  <c r="N63" i="18" s="1"/>
  <c r="M102" i="18"/>
  <c r="N102" i="18" s="1"/>
  <c r="O99" i="18"/>
  <c r="O95" i="18"/>
  <c r="O88" i="18"/>
  <c r="O80" i="18"/>
  <c r="O76" i="18"/>
  <c r="O37" i="18"/>
  <c r="O31" i="18"/>
  <c r="M11" i="18"/>
  <c r="N11" i="18" s="1"/>
  <c r="M25" i="18"/>
  <c r="N25" i="18" s="1"/>
  <c r="M140" i="18"/>
  <c r="N140" i="18" s="1"/>
  <c r="O136" i="18"/>
  <c r="N74" i="18"/>
  <c r="O154" i="16"/>
  <c r="M109" i="16"/>
  <c r="N109" i="16" s="1"/>
  <c r="O155" i="16"/>
  <c r="M179" i="16"/>
  <c r="N179" i="16" s="1"/>
  <c r="M61" i="16"/>
  <c r="N61" i="16" s="1"/>
  <c r="O169" i="16"/>
  <c r="M183" i="16"/>
  <c r="N183" i="16" s="1"/>
  <c r="M34" i="16"/>
  <c r="N34" i="16" s="1"/>
  <c r="O130" i="16"/>
  <c r="M72" i="16"/>
  <c r="N72" i="16" s="1"/>
  <c r="O119" i="16"/>
  <c r="O145" i="16"/>
  <c r="O125" i="16"/>
  <c r="M60" i="16"/>
  <c r="N60" i="16" s="1"/>
  <c r="O147" i="16"/>
  <c r="N68" i="16"/>
  <c r="O138" i="16"/>
  <c r="N111" i="16"/>
  <c r="O97" i="16"/>
  <c r="M62" i="16"/>
  <c r="N62" i="16" s="1"/>
  <c r="M96" i="16"/>
  <c r="N96" i="16" s="1"/>
  <c r="O113" i="16"/>
  <c r="O37" i="16"/>
  <c r="M40" i="16"/>
  <c r="N40" i="16" s="1"/>
  <c r="M135" i="16"/>
  <c r="N135" i="16" s="1"/>
  <c r="N78" i="16"/>
  <c r="O134" i="16"/>
  <c r="M105" i="16"/>
  <c r="N105" i="16" s="1"/>
  <c r="O14" i="16"/>
  <c r="O44" i="16"/>
  <c r="N130" i="16"/>
  <c r="M152" i="16"/>
  <c r="N152" i="16" s="1"/>
  <c r="M101" i="16"/>
  <c r="N101" i="16" s="1"/>
  <c r="N115" i="16"/>
  <c r="M49" i="16"/>
  <c r="N49" i="16" s="1"/>
  <c r="O77" i="16"/>
  <c r="O100" i="16"/>
  <c r="M124" i="16"/>
  <c r="N124" i="16" s="1"/>
  <c r="M117" i="16"/>
  <c r="N117" i="16" s="1"/>
  <c r="O120" i="16"/>
  <c r="O49" i="16"/>
  <c r="O79" i="16"/>
  <c r="M57" i="16"/>
  <c r="N57" i="16" s="1"/>
  <c r="M52" i="16"/>
  <c r="N52" i="16" s="1"/>
  <c r="M48" i="16"/>
  <c r="N48" i="16" s="1"/>
  <c r="M39" i="16"/>
  <c r="N39" i="16" s="1"/>
  <c r="O116" i="16"/>
  <c r="O54" i="16"/>
  <c r="O102" i="16"/>
  <c r="O104" i="16"/>
  <c r="O74" i="16"/>
  <c r="M146" i="16"/>
  <c r="N146" i="16" s="1"/>
  <c r="N138" i="16"/>
  <c r="C18" i="26"/>
  <c r="O153" i="16"/>
  <c r="M153" i="16"/>
  <c r="N153" i="16" s="1"/>
  <c r="O107" i="16"/>
  <c r="M107" i="16"/>
  <c r="N107" i="16" s="1"/>
  <c r="O80" i="16"/>
  <c r="M93" i="16"/>
  <c r="N93" i="16" s="1"/>
  <c r="N102" i="16"/>
  <c r="M58" i="16"/>
  <c r="N58" i="16" s="1"/>
  <c r="O151" i="16"/>
  <c r="O51" i="16"/>
  <c r="O56" i="16"/>
  <c r="M122" i="16"/>
  <c r="N122" i="16" s="1"/>
  <c r="O71" i="16"/>
  <c r="M71" i="16"/>
  <c r="N71" i="16" s="1"/>
  <c r="B22" i="22"/>
  <c r="M143" i="16"/>
  <c r="N143" i="16" s="1"/>
  <c r="O143" i="16"/>
  <c r="O35" i="16"/>
  <c r="M35" i="16"/>
  <c r="N35" i="16" s="1"/>
  <c r="M121" i="16"/>
  <c r="N121" i="16" s="1"/>
  <c r="O121" i="16"/>
  <c r="M141" i="16"/>
  <c r="N141" i="16" s="1"/>
  <c r="O141" i="16"/>
  <c r="D81" i="26"/>
  <c r="O12" i="16"/>
  <c r="M12" i="16"/>
  <c r="N12" i="16" s="1"/>
  <c r="M126" i="16"/>
  <c r="N126" i="16" s="1"/>
  <c r="O126" i="16"/>
  <c r="D44" i="26"/>
  <c r="B3" i="9"/>
  <c r="D95" i="26"/>
  <c r="O91" i="16"/>
  <c r="M91" i="16"/>
  <c r="N91" i="16" s="1"/>
  <c r="M73" i="16"/>
  <c r="N73" i="16" s="1"/>
  <c r="O73" i="16"/>
  <c r="D127" i="26"/>
  <c r="D94" i="26"/>
  <c r="H25" i="1"/>
  <c r="F6" i="1" s="1"/>
  <c r="D21" i="26" s="1"/>
  <c r="D22" i="26" s="1"/>
  <c r="C22" i="26" s="1"/>
  <c r="D3" i="7"/>
  <c r="D16" i="26" s="1"/>
  <c r="D17" i="26" s="1"/>
  <c r="C17" i="26" s="1"/>
  <c r="G73" i="7"/>
  <c r="D5" i="7" s="1"/>
  <c r="D27" i="26" s="1"/>
  <c r="D28" i="26" s="1"/>
  <c r="B14" i="9"/>
  <c r="D70" i="26"/>
  <c r="C5" i="19"/>
  <c r="C39" i="26" l="1"/>
  <c r="D40" i="26"/>
  <c r="C40" i="26" s="1"/>
  <c r="C28" i="26"/>
  <c r="C95" i="26"/>
  <c r="C94" i="26" s="1"/>
  <c r="C81" i="26"/>
  <c r="C70" i="26" s="1"/>
  <c r="C54" i="26" s="1"/>
  <c r="D25" i="26"/>
  <c r="B6" i="10"/>
  <c r="C4" i="19"/>
  <c r="C5" i="16"/>
  <c r="D35" i="26" s="1"/>
  <c r="C35" i="26" s="1"/>
  <c r="C5" i="18"/>
  <c r="D36" i="26" s="1"/>
  <c r="C36" i="26" s="1"/>
  <c r="C127" i="26"/>
  <c r="C3" i="16"/>
  <c r="D12" i="26" s="1"/>
  <c r="C12" i="26" s="1"/>
  <c r="C4" i="18"/>
  <c r="D24" i="26" s="1"/>
  <c r="C24" i="26" s="1"/>
  <c r="C4" i="16"/>
  <c r="D23" i="26" s="1"/>
  <c r="C23" i="26" s="1"/>
  <c r="C3" i="18"/>
  <c r="D13" i="26" s="1"/>
  <c r="C13" i="26" s="1"/>
  <c r="D43" i="26"/>
  <c r="C29" i="26"/>
  <c r="D54" i="26"/>
  <c r="B2" i="9"/>
  <c r="D2" i="7"/>
  <c r="C33" i="26"/>
  <c r="C42" i="26" l="1"/>
  <c r="C2" i="18"/>
  <c r="C2" i="16"/>
  <c r="D42" i="26"/>
  <c r="D37" i="26"/>
  <c r="C41" i="26"/>
  <c r="D32" i="26"/>
  <c r="C32" i="26"/>
  <c r="C16" i="26"/>
  <c r="C14" i="26" s="1"/>
  <c r="D14" i="26"/>
  <c r="C27" i="26"/>
  <c r="C25" i="26" s="1"/>
  <c r="D9" i="26"/>
  <c r="C10" i="26"/>
  <c r="C9" i="26" s="1"/>
  <c r="D20" i="26"/>
  <c r="D19" i="26" s="1"/>
  <c r="C21" i="26"/>
  <c r="C20" i="26" s="1"/>
  <c r="C19" i="26" l="1"/>
  <c r="C8" i="26"/>
  <c r="D31" i="26"/>
  <c r="D8" i="26"/>
  <c r="C37" i="26"/>
  <c r="C31" i="26" s="1"/>
  <c r="C7" i="26" l="1"/>
  <c r="D7" i="26"/>
  <c r="D110" i="26" l="1"/>
  <c r="D131" i="26" s="1"/>
  <c r="D107" i="26"/>
  <c r="C110" i="26"/>
  <c r="C131" i="26" s="1"/>
  <c r="C107" i="26"/>
</calcChain>
</file>

<file path=xl/comments1.xml><?xml version="1.0" encoding="utf-8"?>
<comments xmlns="http://schemas.openxmlformats.org/spreadsheetml/2006/main">
  <authors>
    <author>enikoe</author>
  </authors>
  <commentList>
    <comment ref="P11" authorId="0" shapeId="0">
      <text>
        <r>
          <rPr>
            <b/>
            <sz val="9"/>
            <color indexed="81"/>
            <rFont val="Tahoma"/>
            <family val="2"/>
          </rPr>
          <t>enikoe:</t>
        </r>
        <r>
          <rPr>
            <sz val="9"/>
            <color indexed="81"/>
            <rFont val="Tahoma"/>
            <family val="2"/>
          </rPr>
          <t xml:space="preserve">
tanárképző intézet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enikoe:</t>
        </r>
        <r>
          <rPr>
            <sz val="9"/>
            <color indexed="81"/>
            <rFont val="Tahoma"/>
            <family val="2"/>
          </rPr>
          <t xml:space="preserve">
tanárképző intézet</t>
        </r>
      </text>
    </comment>
  </commentList>
</comments>
</file>

<file path=xl/sharedStrings.xml><?xml version="1.0" encoding="utf-8"?>
<sst xmlns="http://schemas.openxmlformats.org/spreadsheetml/2006/main" count="1659" uniqueCount="732">
  <si>
    <t>Tanszék</t>
  </si>
  <si>
    <t>Hónapok száma</t>
  </si>
  <si>
    <t>EMTE - Rektori Hivatal</t>
  </si>
  <si>
    <t>Dologi kiadások</t>
  </si>
  <si>
    <t>Könyvtári állomány</t>
  </si>
  <si>
    <t>Szolgáltatási kiadások</t>
  </si>
  <si>
    <t>Különféle befizetések</t>
  </si>
  <si>
    <t>Rektori Tanács rendelkezésére</t>
  </si>
  <si>
    <t>Pályázati önrész</t>
  </si>
  <si>
    <t xml:space="preserve">Fogyóeszköz </t>
  </si>
  <si>
    <t>Leltári tárgy</t>
  </si>
  <si>
    <t>Üzemanyag</t>
  </si>
  <si>
    <t>Egyéb készletek</t>
  </si>
  <si>
    <t>Telefondíj, postaköltségek</t>
  </si>
  <si>
    <t xml:space="preserve">Közüzemi díjak </t>
  </si>
  <si>
    <t xml:space="preserve">Biztosítás </t>
  </si>
  <si>
    <t>Víz, csatorna</t>
  </si>
  <si>
    <t>Gáz</t>
  </si>
  <si>
    <t>Villamos energia</t>
  </si>
  <si>
    <t>Egyebek</t>
  </si>
  <si>
    <t>Vagyonbiztosítás</t>
  </si>
  <si>
    <t>Fakultatív egészségügyi biztosítás</t>
  </si>
  <si>
    <t>Kötelező biztosítások</t>
  </si>
  <si>
    <t>Szaktanácsadás: jogi, pénzügyi</t>
  </si>
  <si>
    <t>Internetbérlet</t>
  </si>
  <si>
    <t>Takarítás</t>
  </si>
  <si>
    <t>Nyomdaköltségek</t>
  </si>
  <si>
    <t>Autómosás</t>
  </si>
  <si>
    <t>Parkolási díjak</t>
  </si>
  <si>
    <t>Alkatrészek (gépkocsi, egyéb)</t>
  </si>
  <si>
    <t>Irodai gépek szervizdíja</t>
  </si>
  <si>
    <t>Karbantartási díjak (gépkocsi, épület, gépek, stb.)</t>
  </si>
  <si>
    <t>Irodaszer, nyomtatvány, kis értékű tárgyi eszközök</t>
  </si>
  <si>
    <t>Reklámanyag és arculati elemek</t>
  </si>
  <si>
    <t>Reklám- és hirdetési kiadások</t>
  </si>
  <si>
    <t>Utazási költségtérítés (napidíj, utazási költség, szállás)</t>
  </si>
  <si>
    <t>Napidíjak</t>
  </si>
  <si>
    <t>Szállásdíj</t>
  </si>
  <si>
    <t>Óraadó tanárok száma</t>
  </si>
  <si>
    <t>Vendégelőadók száma</t>
  </si>
  <si>
    <t>Oktatók száma összesen</t>
  </si>
  <si>
    <t>Utazási költségek</t>
  </si>
  <si>
    <t>Kiszállások száma havonta</t>
  </si>
  <si>
    <t>Adminisztráció utazási költségei</t>
  </si>
  <si>
    <t>Napi költség</t>
  </si>
  <si>
    <t>Oktatók utazási költségei</t>
  </si>
  <si>
    <t>Felhalmozási célú kiadások</t>
  </si>
  <si>
    <t>Megjegyzések, magyarázatok, részletezés</t>
  </si>
  <si>
    <t>KIADÁSOK</t>
  </si>
  <si>
    <t>Személyi juttatások</t>
  </si>
  <si>
    <t>Munkavállalót terhelő járulék</t>
  </si>
  <si>
    <t>Bérleti és lízing díjak</t>
  </si>
  <si>
    <t>Banki illeték</t>
  </si>
  <si>
    <t>ÖSSZESEN KIADÁSOK</t>
  </si>
  <si>
    <t>Intézményi működési bevételek</t>
  </si>
  <si>
    <t>Alaptevékenység bevételei</t>
  </si>
  <si>
    <t>Kamatbevételek</t>
  </si>
  <si>
    <t>Működési célú pénzeszközátvétel magyar költségvetésből</t>
  </si>
  <si>
    <t>Működési célú pénzeszközátvétel más forrásokból</t>
  </si>
  <si>
    <t>Felhalmozási célú pénzeszközátvétel magyar költségvetésből</t>
  </si>
  <si>
    <t>Felhalmozási célú pénzeszközátvétel egyéb forrásokból</t>
  </si>
  <si>
    <t>ÖSSZESEN BEVÉTELEK</t>
  </si>
  <si>
    <t>Hallgatói létszám (fő)</t>
  </si>
  <si>
    <t>Vendégtanári létszám (fő): órabéresek és vendégelőadók</t>
  </si>
  <si>
    <t>Létszámelőirányzat (fő): főállású és társult oktatók + adminisztráció</t>
  </si>
  <si>
    <t>Óraadók</t>
  </si>
  <si>
    <t>Kuratóriumi tagok</t>
  </si>
  <si>
    <t>Oktatók</t>
  </si>
  <si>
    <t>Adminisztráció</t>
  </si>
  <si>
    <t>Könyv, információhordozók</t>
  </si>
  <si>
    <t>Oktatási kellékek, vegyszer</t>
  </si>
  <si>
    <t>Gépkocsik és épületgépészet karbantartása</t>
  </si>
  <si>
    <t>Étkezési jegyek értéke</t>
  </si>
  <si>
    <t>Havonta</t>
  </si>
  <si>
    <t>Társult órabéres oktatók</t>
  </si>
  <si>
    <t>Társult órabéresek</t>
  </si>
  <si>
    <t>Főállású és társult oktatók száma</t>
  </si>
  <si>
    <t>Társult órabéres oktatók száma</t>
  </si>
  <si>
    <t>Őrzés, védés</t>
  </si>
  <si>
    <t>Szerzői jogdíjak adója</t>
  </si>
  <si>
    <t>Egyéb befizetések</t>
  </si>
  <si>
    <t>professzor</t>
  </si>
  <si>
    <t>Különféle szolgáltatási kiadások</t>
  </si>
  <si>
    <t>Társult órabérrel javadalmazott oktatók</t>
  </si>
  <si>
    <t>Utazási költségtérítés</t>
  </si>
  <si>
    <t>Intézményi felhalmozási bevételek</t>
  </si>
  <si>
    <t>Árfolyamnyereség</t>
  </si>
  <si>
    <t>Felújítás</t>
  </si>
  <si>
    <t>Működési bevételek</t>
  </si>
  <si>
    <t>Főállású és társult oktatók bére</t>
  </si>
  <si>
    <t>étkezési jegyek értéke</t>
  </si>
  <si>
    <t>munkaadói adóterhek</t>
  </si>
  <si>
    <t>munkavállalói járulékok, adók</t>
  </si>
  <si>
    <t>hónapok száma</t>
  </si>
  <si>
    <t>tanszék</t>
  </si>
  <si>
    <t>oktatói fokozat</t>
  </si>
  <si>
    <t>név</t>
  </si>
  <si>
    <t>rektor</t>
  </si>
  <si>
    <t>rektorhelyettes</t>
  </si>
  <si>
    <t>tudományos igazgató</t>
  </si>
  <si>
    <t>Alkalmazottak</t>
  </si>
  <si>
    <t>Alkalmazottak nettó bére</t>
  </si>
  <si>
    <t>munkakör</t>
  </si>
  <si>
    <t>hivatal</t>
  </si>
  <si>
    <t>Alkalmazottak munkaadói járuléka</t>
  </si>
  <si>
    <t>Adminisztratív személyzet</t>
  </si>
  <si>
    <t>Egyetemi vezetők létszáma</t>
  </si>
  <si>
    <t>Adminisztratív feladatot ellátó személyek létszáma összesen</t>
  </si>
  <si>
    <t>Külföldi napidíj</t>
  </si>
  <si>
    <t>Belföldi napidíj</t>
  </si>
  <si>
    <t>Szállásdíj belföldön</t>
  </si>
  <si>
    <t>Szállásdíj külföldön</t>
  </si>
  <si>
    <t>Össz</t>
  </si>
  <si>
    <t>Nettó bérek összesen</t>
  </si>
  <si>
    <t>Munkavállalói járulékok összesen</t>
  </si>
  <si>
    <t>Munkaadói járulékok összesen</t>
  </si>
  <si>
    <t>Név / Állás</t>
  </si>
  <si>
    <t>Oktatói fokozat</t>
  </si>
  <si>
    <t>Megtartott órák száma összesen</t>
  </si>
  <si>
    <t>Vizsgáztatott diákok száma</t>
  </si>
  <si>
    <t>ssz</t>
  </si>
  <si>
    <t>Előadások száma összesen</t>
  </si>
  <si>
    <t>Szeminárium és gyakorlati óraszám összesen</t>
  </si>
  <si>
    <t>Államvizsga-vezetések száma</t>
  </si>
  <si>
    <t>bruttó órabér/ előadás</t>
  </si>
  <si>
    <t>bruttó órabér/ szeminárium</t>
  </si>
  <si>
    <t>Államvizsga-vezetésért javadalmazott óraszám</t>
  </si>
  <si>
    <t xml:space="preserve">Bruttó bér összesen </t>
  </si>
  <si>
    <t>Nettó bér összesen</t>
  </si>
  <si>
    <t xml:space="preserve">Munkavállalói járulék összesen </t>
  </si>
  <si>
    <t>Munkaadói járulék összesen</t>
  </si>
  <si>
    <t>bruttó órabér/ államvizsga</t>
  </si>
  <si>
    <t>Óraadói bérrel javadalmazott oktatók</t>
  </si>
  <si>
    <t>fizikai óraszám:</t>
  </si>
  <si>
    <t>Készletbeszerzés</t>
  </si>
  <si>
    <t>Előadás</t>
  </si>
  <si>
    <t>Utazások száma</t>
  </si>
  <si>
    <t>Egyszeri útiköltség (menettérti vonatjegy ára)</t>
  </si>
  <si>
    <t>Bruttó órabérek összesen</t>
  </si>
  <si>
    <t>Összesen kifizetés</t>
  </si>
  <si>
    <t>Nettó szerzői jogdíj</t>
  </si>
  <si>
    <t>Adó</t>
  </si>
  <si>
    <t>Útiköltség-térítés összesen</t>
  </si>
  <si>
    <t>Nettó szerzői jogdíjak</t>
  </si>
  <si>
    <t>Ösztöndíj</t>
  </si>
  <si>
    <t>HÖK</t>
  </si>
  <si>
    <t>Államvizsga</t>
  </si>
  <si>
    <t>főállású oktatók</t>
  </si>
  <si>
    <t>adminisztratív személyzet</t>
  </si>
  <si>
    <t>Külföldi vendégelőadók kifizetése</t>
  </si>
  <si>
    <t>Hallgatói juttatások</t>
  </si>
  <si>
    <t>Adminisztratív személyzet bére</t>
  </si>
  <si>
    <t>Sapientia Alapítványi Iroda</t>
  </si>
  <si>
    <t>Sapientia - Marosvásárhelyi Fiókszervezet</t>
  </si>
  <si>
    <t>Sapientia - Csíkszeredai Fiókszervezet</t>
  </si>
  <si>
    <t>Pro Universitate Partium Alapítvány</t>
  </si>
  <si>
    <t>PKE - Rektori Hivatal</t>
  </si>
  <si>
    <t>PKE - Karok</t>
  </si>
  <si>
    <t>Kutatási Programok Intézete</t>
  </si>
  <si>
    <t>Sapientia Alapítvány</t>
  </si>
  <si>
    <t>Gazdasági hivatal</t>
  </si>
  <si>
    <t>Dékáni hivatal</t>
  </si>
  <si>
    <t>költségvetési egységek</t>
  </si>
  <si>
    <t>Tudományos Kutatásszervezési Osztály</t>
  </si>
  <si>
    <t>Gazdasári főigazgatóság</t>
  </si>
  <si>
    <t>Rektori hivatal</t>
  </si>
  <si>
    <t>államvizsgavezetésért javadalmazott óraszám/diák</t>
  </si>
  <si>
    <t>nem</t>
  </si>
  <si>
    <t>Média</t>
  </si>
  <si>
    <t>igen</t>
  </si>
  <si>
    <t>Matematika-Informatika</t>
  </si>
  <si>
    <t>Kertészmérnöki</t>
  </si>
  <si>
    <t>szakirányító</t>
  </si>
  <si>
    <t>Humán</t>
  </si>
  <si>
    <t>Gépészmérnöki</t>
  </si>
  <si>
    <t>tanszékvezető</t>
  </si>
  <si>
    <t>Villamosmérnöki</t>
  </si>
  <si>
    <t>kari kancellár</t>
  </si>
  <si>
    <t>dékánhelyettes</t>
  </si>
  <si>
    <t>dékán</t>
  </si>
  <si>
    <t>gyakornok</t>
  </si>
  <si>
    <t>Üzleti Tudományok</t>
  </si>
  <si>
    <t>egyetemi kancellár</t>
  </si>
  <si>
    <t>tanársegéd</t>
  </si>
  <si>
    <t>Társadalomtudomány</t>
  </si>
  <si>
    <t>adjunktus drd.</t>
  </si>
  <si>
    <t>adjunktus dr.</t>
  </si>
  <si>
    <t>Gazdaságtudomány</t>
  </si>
  <si>
    <t>docens</t>
  </si>
  <si>
    <t>Élelmiszertudományi</t>
  </si>
  <si>
    <t>tanszékek:</t>
  </si>
  <si>
    <t>vezetői beosztások:</t>
  </si>
  <si>
    <t>oktatói fokozatok:</t>
  </si>
  <si>
    <t>adókulcs</t>
  </si>
  <si>
    <t>Munkanap/hó</t>
  </si>
  <si>
    <t>Étkezési jegy értéke</t>
  </si>
  <si>
    <t>1 EUR</t>
  </si>
  <si>
    <t>tervezési időszak</t>
  </si>
  <si>
    <t>1 Ft</t>
  </si>
  <si>
    <t>árfolyamok</t>
  </si>
  <si>
    <t>társult</t>
  </si>
  <si>
    <t>óraadó</t>
  </si>
  <si>
    <t>Külföldi vendégelőadók bére és utazási költségtérítése</t>
  </si>
  <si>
    <t>szerzői jogdíj levont adókulcsa</t>
  </si>
  <si>
    <t>bruttó órabér külföldi vendégelőadók</t>
  </si>
  <si>
    <t>Kutatók bére</t>
  </si>
  <si>
    <t>Oktatók prémiuma</t>
  </si>
  <si>
    <t>Egyéb kutatásspecifikus kiadások</t>
  </si>
  <si>
    <t>Indirekt kiadások</t>
  </si>
  <si>
    <t>Felszerelések, tanulmányok</t>
  </si>
  <si>
    <t>Kutatás-fejlesztési eszközök</t>
  </si>
  <si>
    <t>Bútor, műszer</t>
  </si>
  <si>
    <t>Számítástechnikai eszközök</t>
  </si>
  <si>
    <t>Jármű</t>
  </si>
  <si>
    <t>Beruházás</t>
  </si>
  <si>
    <t>Tanulmányok, felmérések</t>
  </si>
  <si>
    <t>Haszon</t>
  </si>
  <si>
    <t>Kar</t>
  </si>
  <si>
    <t>Pályázati források</t>
  </si>
  <si>
    <t>Kutatási projektek</t>
  </si>
  <si>
    <t>összesen</t>
  </si>
  <si>
    <t>projekt-1</t>
  </si>
  <si>
    <t>projekt-2</t>
  </si>
  <si>
    <t>projekt-3</t>
  </si>
  <si>
    <t>projekt-4</t>
  </si>
  <si>
    <t>projekt-5</t>
  </si>
  <si>
    <t>projekt-6</t>
  </si>
  <si>
    <t>projekt-7</t>
  </si>
  <si>
    <t>projekt-8</t>
  </si>
  <si>
    <t>projekt-9</t>
  </si>
  <si>
    <t>projekt-10</t>
  </si>
  <si>
    <t>projekt-11</t>
  </si>
  <si>
    <t>projekt-12</t>
  </si>
  <si>
    <t>projekt-13</t>
  </si>
  <si>
    <t>projekt-14</t>
  </si>
  <si>
    <t>projekt-15</t>
  </si>
  <si>
    <t>projekt-16</t>
  </si>
  <si>
    <t>projekt-17</t>
  </si>
  <si>
    <t>projekt-18</t>
  </si>
  <si>
    <t>Kutatási kiadások</t>
  </si>
  <si>
    <t>Kiadások</t>
  </si>
  <si>
    <t>Bevételek</t>
  </si>
  <si>
    <t>Bentlakás</t>
  </si>
  <si>
    <t>Étkezde</t>
  </si>
  <si>
    <t>Maradvány</t>
  </si>
  <si>
    <t>Dologi kiadások önrészből</t>
  </si>
  <si>
    <t>Önrész (korábbi évek bevételéből)</t>
  </si>
  <si>
    <t>FORRÁSOK</t>
  </si>
  <si>
    <t>Korábbi évek saját bevétele</t>
  </si>
  <si>
    <t>ÖSSZESEN FORRÁSOK</t>
  </si>
  <si>
    <t>Felhalmozási bevételek</t>
  </si>
  <si>
    <t>Korábbi és jelenlegi felhasználatlan bevételek</t>
  </si>
  <si>
    <t>Források a kutatási kiadások fedezésére</t>
  </si>
  <si>
    <t>Szolgáltatások kiadásai</t>
  </si>
  <si>
    <t>Bevétel a szolgáltatási kiadások fedezésére</t>
  </si>
  <si>
    <t>Egyéb működési bevételek</t>
  </si>
  <si>
    <t>Rendszeres alkalmazottak nettó bére</t>
  </si>
  <si>
    <t>Munkaadót terhelő járulék</t>
  </si>
  <si>
    <t>Alkalmazottak munkavállalói járuléka</t>
  </si>
  <si>
    <t>Oktatók nettó bére</t>
  </si>
  <si>
    <t>Napidíj</t>
  </si>
  <si>
    <t>Nyári gyakorlat kiadásai</t>
  </si>
  <si>
    <t>Protokoll és ellátási kiadások</t>
  </si>
  <si>
    <t>Immateriális javak</t>
  </si>
  <si>
    <t>Ingatlanok</t>
  </si>
  <si>
    <t>Gépek, benedezések, felszerelések</t>
  </si>
  <si>
    <t>Vezetői pótlékok</t>
  </si>
  <si>
    <t>Megbízások (nettó)</t>
  </si>
  <si>
    <t>Szerzői jogdíjak és megbízások adója</t>
  </si>
  <si>
    <t>Kutatói ösztöndíjak (KPI)</t>
  </si>
  <si>
    <t>Egyéb szolgáltatási kiadások, jogdíjak</t>
  </si>
  <si>
    <t>Díjak (TDK)</t>
  </si>
  <si>
    <t>Rendezvényszervezés kiadásai</t>
  </si>
  <si>
    <t>Szakmai továbbképzés, konferencia részvételi díjak</t>
  </si>
  <si>
    <t>Utazási költségtérítés: szállás, üzemanyag saját autóval, vonatjegy stb.</t>
  </si>
  <si>
    <t>Utazási költségek:saját autóval üzemanyagtérítés, vonatjegy, repülőjegy, buszjegy ára</t>
  </si>
  <si>
    <t>magyarázat, részletezés</t>
  </si>
  <si>
    <t>1.</t>
  </si>
  <si>
    <t>1.1.</t>
  </si>
  <si>
    <t>1.1.1.</t>
  </si>
  <si>
    <t>1.2.</t>
  </si>
  <si>
    <t>1.3.</t>
  </si>
  <si>
    <t>2.</t>
  </si>
  <si>
    <t>3.</t>
  </si>
  <si>
    <t>3.1.</t>
  </si>
  <si>
    <t>3.1.1.</t>
  </si>
  <si>
    <t>3.1.2.</t>
  </si>
  <si>
    <t>3.1.3.</t>
  </si>
  <si>
    <t>3.1.4.</t>
  </si>
  <si>
    <t>3.1.5.</t>
  </si>
  <si>
    <t>3.2.</t>
  </si>
  <si>
    <t>3.3.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</si>
  <si>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</si>
  <si>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</si>
  <si>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</si>
  <si>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</si>
  <si>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</si>
  <si>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</si>
  <si>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</si>
  <si>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</si>
  <si>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3.3.9.</t>
  </si>
  <si>
    <t>3.4.</t>
  </si>
  <si>
    <t>3.5.</t>
  </si>
  <si>
    <t>3.6.</t>
  </si>
  <si>
    <t>3.5.2.</t>
  </si>
  <si>
    <t>3.5.3.</t>
  </si>
  <si>
    <t>3.5.4.</t>
  </si>
  <si>
    <t>3.5.5.</t>
  </si>
  <si>
    <t>3.7.</t>
  </si>
  <si>
    <t>3.8.</t>
  </si>
  <si>
    <t>3.9.</t>
  </si>
  <si>
    <t>3.10.</t>
  </si>
  <si>
    <t>4.</t>
  </si>
  <si>
    <t>4.1.</t>
  </si>
  <si>
    <t>4.2.</t>
  </si>
  <si>
    <t>4.3.</t>
  </si>
  <si>
    <t>4.4.</t>
  </si>
  <si>
    <t>5.</t>
  </si>
  <si>
    <t>6.</t>
  </si>
  <si>
    <t>a.</t>
  </si>
  <si>
    <t>a.1.</t>
  </si>
  <si>
    <t>a.2.</t>
  </si>
  <si>
    <t>a.3.</t>
  </si>
  <si>
    <t>a.4.</t>
  </si>
  <si>
    <t>b.</t>
  </si>
  <si>
    <t>b.1.</t>
  </si>
  <si>
    <t>b.2.</t>
  </si>
  <si>
    <t>b.3.</t>
  </si>
  <si>
    <t>c.</t>
  </si>
  <si>
    <t>d.</t>
  </si>
  <si>
    <t>e.</t>
  </si>
  <si>
    <t>f.</t>
  </si>
  <si>
    <t>g.</t>
  </si>
  <si>
    <t>1.1.2.</t>
  </si>
  <si>
    <t>Környezettudomány</t>
  </si>
  <si>
    <t>Alkalmazott társadalomtudományok</t>
  </si>
  <si>
    <t>Sapientia egység neve:</t>
  </si>
  <si>
    <t>Rendezvényeken való részvétel útiköltségei</t>
  </si>
  <si>
    <t>Elszámolási maradvány, 2011/2012 tanév végén</t>
  </si>
  <si>
    <t>3.5.1.</t>
  </si>
  <si>
    <t>Biomérnöki</t>
  </si>
  <si>
    <t>I. félév:</t>
  </si>
  <si>
    <t>II. félév:</t>
  </si>
  <si>
    <t>társult órabér</t>
  </si>
  <si>
    <t>óraadói órabér</t>
  </si>
  <si>
    <t>preparator</t>
  </si>
  <si>
    <t>asistent universitar</t>
  </si>
  <si>
    <t>drd. adjunktus</t>
  </si>
  <si>
    <t>lector drd.</t>
  </si>
  <si>
    <t>dr. adjunktus</t>
  </si>
  <si>
    <t>lector dr.</t>
  </si>
  <si>
    <t>conferenţiar universitar</t>
  </si>
  <si>
    <t>egyetemi tanár</t>
  </si>
  <si>
    <t>profesor universitar</t>
  </si>
  <si>
    <t>bruttó órabér/ államvizsga irányítás</t>
  </si>
  <si>
    <t>Oktatói versenyvizsga bizottságok javadalmazása</t>
  </si>
  <si>
    <t>Államvizsga bizottságok külsős tagjainak javadalmazása</t>
  </si>
  <si>
    <t>Felvételiztetésért kifizetett órabérek</t>
  </si>
  <si>
    <t>Pótvizsgákért kifizetett órabérek</t>
  </si>
  <si>
    <t>minőségbiztosítási igazgató</t>
  </si>
  <si>
    <t>tanulmányi programfelelős</t>
  </si>
  <si>
    <t>7.</t>
  </si>
  <si>
    <t>Pályázatok</t>
  </si>
  <si>
    <t>Csíkszeredai MTT</t>
  </si>
  <si>
    <t>Csíkszeredai GHT</t>
  </si>
  <si>
    <t>Kolozsvári kar</t>
  </si>
  <si>
    <t>Marosvásárhelyi kar</t>
  </si>
  <si>
    <t>létszám</t>
  </si>
  <si>
    <t>pótlék értéke</t>
  </si>
  <si>
    <t>szenátus elnöke</t>
  </si>
  <si>
    <t>hivatali keret:</t>
  </si>
  <si>
    <t>Alkalmazott nyelvészet</t>
  </si>
  <si>
    <t>Jogtudományi és Európa tanulmányok</t>
  </si>
  <si>
    <t>Tanárképző Intézet</t>
  </si>
  <si>
    <t>szemináriumi óradíj</t>
  </si>
  <si>
    <t>Főállású és társult oktatók alapbére</t>
  </si>
  <si>
    <t>Főállású és társult oktatók minősítési pótléka</t>
  </si>
  <si>
    <t>Adminisztrációs nettó bérek</t>
  </si>
  <si>
    <t>Minősítési pótlék</t>
  </si>
  <si>
    <t>Alapbérek</t>
  </si>
  <si>
    <t>Nettó</t>
  </si>
  <si>
    <t>Munkavállalói járulékok</t>
  </si>
  <si>
    <t>Munkaadói járulékok</t>
  </si>
  <si>
    <t>havonta</t>
  </si>
  <si>
    <t>bruttó alapbér</t>
  </si>
  <si>
    <t>nettó</t>
  </si>
  <si>
    <t>főllású vagy társult</t>
  </si>
  <si>
    <t>oktatói minősítés, bruttó</t>
  </si>
  <si>
    <t>adminisztratív minősítés, bruttó</t>
  </si>
  <si>
    <t xml:space="preserve">vezetői pótlék </t>
  </si>
  <si>
    <t>évente:</t>
  </si>
  <si>
    <t>Kuratórium honoráriuma</t>
  </si>
  <si>
    <t>bruttó honorárium</t>
  </si>
  <si>
    <t>ülések száma</t>
  </si>
  <si>
    <t>EMTE - Csíkszeredai kar</t>
  </si>
  <si>
    <t>EMTE - Kolozsvári kar</t>
  </si>
  <si>
    <t>EMTE - Marosvásárhelyi kar</t>
  </si>
  <si>
    <t>EMTE- Sepsiszentgyörgyi tk</t>
  </si>
  <si>
    <t>Sepsiszentgyörgyi tk</t>
  </si>
  <si>
    <t>Minősítési pótlék keret</t>
  </si>
  <si>
    <t>Vezetői pótlék keret</t>
  </si>
  <si>
    <t>1.2.1</t>
  </si>
  <si>
    <t>1.2.2</t>
  </si>
  <si>
    <t>2.1</t>
  </si>
  <si>
    <t>2.2</t>
  </si>
  <si>
    <t>Költségvetési időszak: 2015. október 1 - 2016. szeptember 30.</t>
  </si>
  <si>
    <t>minősítési pótlékkeret</t>
  </si>
  <si>
    <t>Butiurca Ileana-Doina</t>
  </si>
  <si>
    <t>Imre Attila</t>
  </si>
  <si>
    <t>Kelemen Attila</t>
  </si>
  <si>
    <t>Suba Réka Gizella</t>
  </si>
  <si>
    <t>Elekes Róbert</t>
  </si>
  <si>
    <t>Kovács Gabriella</t>
  </si>
  <si>
    <t>Nagy Imola Katalin</t>
  </si>
  <si>
    <t>Peterlicean Andrea</t>
  </si>
  <si>
    <t>Sárosi-Márdirosz Krisztina-Mária</t>
  </si>
  <si>
    <t>Suciu Sorin-Gheorghe</t>
  </si>
  <si>
    <t>Nagy-Szilveszter Orsolya</t>
  </si>
  <si>
    <t>Szaló Réka</t>
  </si>
  <si>
    <t>Gagyi József</t>
  </si>
  <si>
    <t>Pletl Rita</t>
  </si>
  <si>
    <t>Albert - Lőrincz Márton</t>
  </si>
  <si>
    <t>Fazakas Noémi</t>
  </si>
  <si>
    <t>Fülöp Otília</t>
  </si>
  <si>
    <t>Harangus Katalin</t>
  </si>
  <si>
    <t>Kovács Réka</t>
  </si>
  <si>
    <t>Krizbai Tímea</t>
  </si>
  <si>
    <t>Lukács-Márton Réka</t>
  </si>
  <si>
    <t>Sántha Ágnes Rózsa</t>
  </si>
  <si>
    <t>Szentes Erzsébet</t>
  </si>
  <si>
    <t>Tőkés Gyöngyvér Erika</t>
  </si>
  <si>
    <t>Vajda András</t>
  </si>
  <si>
    <t>Zsigmond István</t>
  </si>
  <si>
    <t>Horváth Zsófia</t>
  </si>
  <si>
    <t>Kovács Barna</t>
  </si>
  <si>
    <t>Bíró Domokos</t>
  </si>
  <si>
    <t>Bitai Enikő Magdolna</t>
  </si>
  <si>
    <t>Kakucs András</t>
  </si>
  <si>
    <t>Máté Márton</t>
  </si>
  <si>
    <t>Vosloban Éva</t>
  </si>
  <si>
    <t>Bakos Levente</t>
  </si>
  <si>
    <t>Egyed-Faluvégi Erzsébet</t>
  </si>
  <si>
    <t>Forgó Zoltán</t>
  </si>
  <si>
    <t>Gergely Attila Levente</t>
  </si>
  <si>
    <t>Pásztor Judit</t>
  </si>
  <si>
    <t>Popa Müller Izolda</t>
  </si>
  <si>
    <t>Tolvaly - Roşca Ferenc</t>
  </si>
  <si>
    <t>Balogh Adalbert</t>
  </si>
  <si>
    <t>Ferencz László</t>
  </si>
  <si>
    <t>Kovács Lóránt</t>
  </si>
  <si>
    <t>Bálint János</t>
  </si>
  <si>
    <t>Balla Géza</t>
  </si>
  <si>
    <t>Bandi Attila</t>
  </si>
  <si>
    <t>Bartha Csaba</t>
  </si>
  <si>
    <t>Benedek Klára</t>
  </si>
  <si>
    <t>Fazakas Csaba</t>
  </si>
  <si>
    <t>Kentelky Endre</t>
  </si>
  <si>
    <t>Moldován Csaba</t>
  </si>
  <si>
    <t>Nyárádi Imre</t>
  </si>
  <si>
    <t>Orosz Ferenc</t>
  </si>
  <si>
    <t>Căbuz Andrea</t>
  </si>
  <si>
    <t>Hegedűs Noémi Melitta</t>
  </si>
  <si>
    <t>Henning Anna Imola</t>
  </si>
  <si>
    <t>Kása Zoltán</t>
  </si>
  <si>
    <t>Szász Róbert</t>
  </si>
  <si>
    <t>Antal Margit</t>
  </si>
  <si>
    <t>Kátai Zoltán</t>
  </si>
  <si>
    <t>Kupán Pál</t>
  </si>
  <si>
    <t>Farkas Csaba</t>
  </si>
  <si>
    <t>Jánosi-Rancz Katalin Tünde</t>
  </si>
  <si>
    <t>Kovács Lehel</t>
  </si>
  <si>
    <t>Márton Gyöngyvér</t>
  </si>
  <si>
    <t>Vekov Géza</t>
  </si>
  <si>
    <t>Fodor Ladislau</t>
  </si>
  <si>
    <t>Dávid László</t>
  </si>
  <si>
    <t>Márton László</t>
  </si>
  <si>
    <t>Székely Gyula</t>
  </si>
  <si>
    <t>Szilágyi László</t>
  </si>
  <si>
    <t>Kenéz Lajos</t>
  </si>
  <si>
    <t>Márton Lőrinc</t>
  </si>
  <si>
    <t>Bakó László</t>
  </si>
  <si>
    <t>Brassai Sándor Tihamér</t>
  </si>
  <si>
    <t>Csernát Géza</t>
  </si>
  <si>
    <t>Domokos József</t>
  </si>
  <si>
    <t>György Katalin</t>
  </si>
  <si>
    <t>Iclănzan David Andrei</t>
  </si>
  <si>
    <t>Kelemen András</t>
  </si>
  <si>
    <t>Kutasi Dénes Nimród</t>
  </si>
  <si>
    <t>Losonczi Lajos</t>
  </si>
  <si>
    <t>Molnár László</t>
  </si>
  <si>
    <t>Papp Sándor</t>
  </si>
  <si>
    <t>Szabó László Zsolt</t>
  </si>
  <si>
    <t>Székely Sándor</t>
  </si>
  <si>
    <t>Túrós László-Zsolt</t>
  </si>
  <si>
    <t>Vajda Tamás</t>
  </si>
  <si>
    <t>Lefkovits László</t>
  </si>
  <si>
    <t>Szántó Zoltán</t>
  </si>
  <si>
    <t>adjunktus</t>
  </si>
  <si>
    <t>Alkalmazott nyelvészeti</t>
  </si>
  <si>
    <t>Alkalmazott Társadalomtudományok</t>
  </si>
  <si>
    <t>Gazdaságtudományi</t>
  </si>
  <si>
    <t>Matematika és Informatika</t>
  </si>
  <si>
    <t>béremelkedés régiség miatt, 2017. januártól</t>
  </si>
  <si>
    <t>új állások 2017. márciustól</t>
  </si>
  <si>
    <t>lacatus mecanic</t>
  </si>
  <si>
    <t>secretara</t>
  </si>
  <si>
    <t>tehnician</t>
  </si>
  <si>
    <t>tehnician in invatamant</t>
  </si>
  <si>
    <t>tehnician mecanic</t>
  </si>
  <si>
    <t>ingrijitor spatii verzi</t>
  </si>
  <si>
    <t>muncitor necalificat in agricultura</t>
  </si>
  <si>
    <t>secretar facultate</t>
  </si>
  <si>
    <t>tehnician agronom</t>
  </si>
  <si>
    <t>tehnician echipamente de calcul si retele</t>
  </si>
  <si>
    <t>administrator de retele de calculator</t>
  </si>
  <si>
    <t>inginer electronist telecomunicatii</t>
  </si>
  <si>
    <t>tehnician electronica</t>
  </si>
  <si>
    <t>tehnician retele de telecomunicatii</t>
  </si>
  <si>
    <t>laborant in invatamant</t>
  </si>
  <si>
    <t>administrator</t>
  </si>
  <si>
    <t>portar</t>
  </si>
  <si>
    <t>organanizator relatii</t>
  </si>
  <si>
    <t>referent relatii externe</t>
  </si>
  <si>
    <t>specialist in relatii publice</t>
  </si>
  <si>
    <t>cadru tehnic cu atributii in PSI</t>
  </si>
  <si>
    <t>contabil</t>
  </si>
  <si>
    <t>director economic</t>
  </si>
  <si>
    <t>electrician de intretinere</t>
  </si>
  <si>
    <t>femeie de servi</t>
  </si>
  <si>
    <t>gestionar depozit</t>
  </si>
  <si>
    <t>inginer de sistem in informatica</t>
  </si>
  <si>
    <t>lacatus mecanic de intretinere</t>
  </si>
  <si>
    <t>secretar economic</t>
  </si>
  <si>
    <t>bibliotecar studii medii</t>
  </si>
  <si>
    <t>bibliotecar studii superioare</t>
  </si>
  <si>
    <t>formator</t>
  </si>
  <si>
    <t>BALINT LAJOS</t>
  </si>
  <si>
    <t>PAPP REKA</t>
  </si>
  <si>
    <t>LORINCZ ANDRAS</t>
  </si>
  <si>
    <t>THIESZ TIBOR LASZLO</t>
  </si>
  <si>
    <t>FARMOS RUDOLF-LASZLO</t>
  </si>
  <si>
    <t>FULOP DOMOKOS ATTILA</t>
  </si>
  <si>
    <t>BALIZS VILMOS</t>
  </si>
  <si>
    <t>ZOLYOMI MONIKA</t>
  </si>
  <si>
    <t>MOLNAR KATALIN</t>
  </si>
  <si>
    <t>CSIZMADIA ERZSEBET</t>
  </si>
  <si>
    <t>GYORFI AGNES</t>
  </si>
  <si>
    <t>LUKACS IBOLYA</t>
  </si>
  <si>
    <t>PISAK-LUKATS IOAN-MARIUS</t>
  </si>
  <si>
    <t>NAGY ZOLTAN GABOR</t>
  </si>
  <si>
    <t>PORKOLAB ANNAMARIA</t>
  </si>
  <si>
    <t>GAL BLANKA</t>
  </si>
  <si>
    <t>JAKAB FARKAS LASZLO</t>
  </si>
  <si>
    <t>SZOLLOSI ISTVAN</t>
  </si>
  <si>
    <t>HAJDU SZABOLCS</t>
  </si>
  <si>
    <t>BIRO TIBERIU</t>
  </si>
  <si>
    <t>KISS KONDRAD JOZSEF</t>
  </si>
  <si>
    <t>UNGAR JUDIT</t>
  </si>
  <si>
    <t>CSENTERI  EMESE</t>
  </si>
  <si>
    <t>DEMETER NOEMI-ANDREA</t>
  </si>
  <si>
    <t>DEAK BERNADETT-TIMEA</t>
  </si>
  <si>
    <t>SZABADI  SZIDONIA</t>
  </si>
  <si>
    <t>KOVACS GYONGYVER</t>
  </si>
  <si>
    <t>SZANTO EMESE MARIA</t>
  </si>
  <si>
    <t>SZENTE VIORICA-ROZALIA</t>
  </si>
  <si>
    <t>BIBLIA CSILLA</t>
  </si>
  <si>
    <t>PAL ARPAD</t>
  </si>
  <si>
    <t>TOLVALY LASZLO</t>
  </si>
  <si>
    <t>FODOR  ARPAD</t>
  </si>
  <si>
    <t>DOMOKOS FERENC</t>
  </si>
  <si>
    <t>BABOS ANAMARIA</t>
  </si>
  <si>
    <t>BRASSAI ENIKO</t>
  </si>
  <si>
    <t>BALAZS MIHAI</t>
  </si>
  <si>
    <t>KACSO BENI</t>
  </si>
  <si>
    <t>FAZAKAS ILONA</t>
  </si>
  <si>
    <t>KACSO KISS EVA</t>
  </si>
  <si>
    <t>KOVACS KATALIN</t>
  </si>
  <si>
    <t>PAVEL ENIKO</t>
  </si>
  <si>
    <t>SIKLODI ANA</t>
  </si>
  <si>
    <t>SZASZ JOZSEF</t>
  </si>
  <si>
    <t>FAZAKAS-GYORFFY ROBERT</t>
  </si>
  <si>
    <t>KEREKES ARPAD</t>
  </si>
  <si>
    <t>BARTOS IMRE</t>
  </si>
  <si>
    <t>MIHALY JENO</t>
  </si>
  <si>
    <t>SIKLODI JOZSEF</t>
  </si>
  <si>
    <t>SIMO ATTILA</t>
  </si>
  <si>
    <t>SZABO VASILE</t>
  </si>
  <si>
    <t>NAGY JUDIT</t>
  </si>
  <si>
    <t>NAGY KINGA</t>
  </si>
  <si>
    <t>DEMETER FERENC ZSOLT</t>
  </si>
  <si>
    <t>JABLONOVSZKI JUDIT ETELKA</t>
  </si>
  <si>
    <t>TAMASI CSILLA</t>
  </si>
  <si>
    <t>KUSZALIK ESZTER</t>
  </si>
  <si>
    <t>RUHIG NORA</t>
  </si>
  <si>
    <t>ANDRAS ANNAMARIA</t>
  </si>
  <si>
    <t>RAVASZ ENIKO</t>
  </si>
  <si>
    <t>BARTHA ZSOLT ISTVAN</t>
  </si>
  <si>
    <t>BARABAS GASPAR ANTAL</t>
  </si>
  <si>
    <t>KOVACS ARPAD</t>
  </si>
  <si>
    <t>TOTH MIHAIL</t>
  </si>
  <si>
    <t>VERESS IMRE</t>
  </si>
  <si>
    <t>Suba Réka</t>
  </si>
  <si>
    <t>Butiurca Doina</t>
  </si>
  <si>
    <t>Sárosi-Márdirosz Krisztina</t>
  </si>
  <si>
    <t>Elekes Robert Gabriel</t>
  </si>
  <si>
    <t>Suciu Sorin Gheorghe</t>
  </si>
  <si>
    <t>Năznean Adrian</t>
  </si>
  <si>
    <t>Alkalmazott nyelvtudományok</t>
  </si>
  <si>
    <t>Kommer Alois</t>
  </si>
  <si>
    <t>Bara Kinga</t>
  </si>
  <si>
    <t>Speight David</t>
  </si>
  <si>
    <t xml:space="preserve">Kenéz Melinda </t>
  </si>
  <si>
    <t>Maier Ilka</t>
  </si>
  <si>
    <t>Sikó Judith</t>
  </si>
  <si>
    <t>78</t>
  </si>
  <si>
    <t>Bitay Enikő</t>
  </si>
  <si>
    <t>Csibi Vencel</t>
  </si>
  <si>
    <t>Filep Emőd</t>
  </si>
  <si>
    <t>Hollanda Dénes</t>
  </si>
  <si>
    <t>Papp István</t>
  </si>
  <si>
    <t>Tolvaly-Rosca Ferenc</t>
  </si>
  <si>
    <t>Vasloban Éva</t>
  </si>
  <si>
    <t>Gergely Attila</t>
  </si>
  <si>
    <t>Kolozsváry Zoltán</t>
  </si>
  <si>
    <t>Mezei Alexandru</t>
  </si>
  <si>
    <t>Boza Pál</t>
  </si>
  <si>
    <t>Bazele proiectarii tehn. asist de calc</t>
  </si>
  <si>
    <t>Jánosi-Rancz Tünde Katalin</t>
  </si>
  <si>
    <t xml:space="preserve">Kovács Lehel </t>
  </si>
  <si>
    <t>Iclănzan David</t>
  </si>
  <si>
    <t>Horobeț Emil</t>
  </si>
  <si>
    <t>Osztián Erika</t>
  </si>
  <si>
    <t>Pisák-Lukats János</t>
  </si>
  <si>
    <t>Vekov Géza Károly</t>
  </si>
  <si>
    <t>Weszely Tibor</t>
  </si>
  <si>
    <t>Szabó Károly Attila</t>
  </si>
  <si>
    <t>Gregorics Tibor</t>
  </si>
  <si>
    <t>Kozsik Tamás</t>
  </si>
  <si>
    <t>Kiss Attila</t>
  </si>
  <si>
    <t>Kovács Attila</t>
  </si>
  <si>
    <t>Imecs Mária / 8, 31</t>
  </si>
  <si>
    <t>Domokos József/8</t>
  </si>
  <si>
    <t>Márton Lőrinc / 8, 29</t>
  </si>
  <si>
    <t>Kelemen András / 8, 31</t>
  </si>
  <si>
    <t>György Katalin / 8</t>
  </si>
  <si>
    <t>Bakó László / 9</t>
  </si>
  <si>
    <t>Vajda Tamás / 9, 10, 25, 34</t>
  </si>
  <si>
    <t>Brassai Tihamér / 9, 31, 33</t>
  </si>
  <si>
    <t>Szabó László / 10, 25</t>
  </si>
  <si>
    <t>Kutasi Nimród / 10, 30, 31</t>
  </si>
  <si>
    <t>Polgár Zsolt / 26</t>
  </si>
  <si>
    <t>Lefkovits László / 26</t>
  </si>
  <si>
    <t>Papp Sándor / 29</t>
  </si>
  <si>
    <t>Márton László / 30</t>
  </si>
  <si>
    <t>Szántó Zoltán / 29</t>
  </si>
  <si>
    <t>Losonczi Lajos / 32, 33</t>
  </si>
  <si>
    <t>Imecs Mária / 8</t>
  </si>
  <si>
    <t>Kelemen András/8</t>
  </si>
  <si>
    <t>Márton Lőrinc / 8, 32, 33</t>
  </si>
  <si>
    <t>Kenéz Lajos / 8</t>
  </si>
  <si>
    <t>Brassai Tihamér / 9, 33</t>
  </si>
  <si>
    <t>Vajda Tamás / 10, 32</t>
  </si>
  <si>
    <t>Szabó László / 10</t>
  </si>
  <si>
    <t>Kutasi Nimród / 10, 29</t>
  </si>
  <si>
    <t>Dub László / 25</t>
  </si>
  <si>
    <t>Szántó Zoltán / 25</t>
  </si>
  <si>
    <t>Domokos József/8, 29</t>
  </si>
  <si>
    <t>Iclanzan David / 29, 33, 34</t>
  </si>
  <si>
    <t>Losonczi Lajos / 29</t>
  </si>
  <si>
    <t>Márton László / 30, 33</t>
  </si>
  <si>
    <t>György Katalin / 30, 33</t>
  </si>
  <si>
    <t>Dávid László / 31</t>
  </si>
  <si>
    <t>Papp Sándor / 32</t>
  </si>
  <si>
    <t>Szilágyi László / 32, 33, 34</t>
  </si>
  <si>
    <t>Fekete Zsombor / 8</t>
  </si>
  <si>
    <t>Hajdú Szabolcs / 9, 10, 29</t>
  </si>
  <si>
    <t>Joó András</t>
  </si>
  <si>
    <t>Kovács Kázmér Prof. 3</t>
  </si>
  <si>
    <t>Fülöp Ottilia Adj. 16</t>
  </si>
  <si>
    <t>Fazakas Csaba Adj. 17</t>
  </si>
  <si>
    <t>Balog Adalbert Adj. 18</t>
  </si>
  <si>
    <t>Harter Tibor Adj. 18</t>
  </si>
  <si>
    <t>Kentelki Endre Adj. 20</t>
  </si>
  <si>
    <t>Orosz Ferenc Adj. 21</t>
  </si>
  <si>
    <t>Benedek Klára Adj. 22</t>
  </si>
  <si>
    <t>Thiesz Rezső Adj. 22</t>
  </si>
  <si>
    <t>Ferencz László Adj. 25</t>
  </si>
  <si>
    <t>Balog Adalbert Prof. 31, 32</t>
  </si>
  <si>
    <t>György Éva Conf. 29</t>
  </si>
  <si>
    <t>Kovács Lóránt Prof. 32</t>
  </si>
  <si>
    <t>Urák István Prof. 32</t>
  </si>
  <si>
    <t>Nyárádi Imre-István Conf. 33</t>
  </si>
  <si>
    <t>Gagyi József Adj. 18</t>
  </si>
  <si>
    <t>Kovács Lóránt Adj. 18, 19</t>
  </si>
  <si>
    <t>Kentelki Endre Adj. 19, 20</t>
  </si>
  <si>
    <t>Harter Tibor Adj. 19</t>
  </si>
  <si>
    <t>Benedek Klára Adj. 19</t>
  </si>
  <si>
    <t>Thiesz Rezső Adj. 21, 25</t>
  </si>
  <si>
    <t>Nyári gyakorlat Adj. 22, 25</t>
  </si>
  <si>
    <t>Balog Adalbert Adj. Prof. 31</t>
  </si>
  <si>
    <t>Ferencz László Prof. 32</t>
  </si>
  <si>
    <t>Bálint János Conf. 33</t>
  </si>
  <si>
    <t>Cabuz Andrea Adj. 16</t>
  </si>
  <si>
    <t>Pokorny László Adj. 21</t>
  </si>
  <si>
    <t>Szabó Károly-Attila Asziszt. 29</t>
  </si>
  <si>
    <t>Tófalvi Melinda-Mária Prof. 31</t>
  </si>
  <si>
    <t xml:space="preserve">Cabuz Andrea Adj. 16 </t>
  </si>
  <si>
    <t>Fekete Albert Adj. 17</t>
  </si>
  <si>
    <t>Zöldövezetek tervezése I.</t>
  </si>
  <si>
    <t>Csemez Attila Adj. 19</t>
  </si>
  <si>
    <t>Tájrendezés</t>
  </si>
  <si>
    <t>Vendégelőadó 1 Adj. 20</t>
  </si>
  <si>
    <t>Tájépítészeti ismeretek</t>
  </si>
  <si>
    <t>Gecséné Tar Imola Adj. 20</t>
  </si>
  <si>
    <t>Tájépítészet történet</t>
  </si>
  <si>
    <t>Kabai Róbert Adj. 17</t>
  </si>
  <si>
    <t>Regionális tervezés</t>
  </si>
  <si>
    <t>Fekete Albert Adj. 17, 19</t>
  </si>
  <si>
    <t>Zöldövezetek tervezése II., Kert-és szabadtér tervezés stúdió</t>
  </si>
  <si>
    <t>Herczeg Ágnes Adj. 18</t>
  </si>
  <si>
    <t>Játszóterek tervezésének európai standardjai</t>
  </si>
  <si>
    <t>Csemez Attila Adj. 18</t>
  </si>
  <si>
    <t>Területrendezés</t>
  </si>
  <si>
    <t>Tóth Ferenc Prof. 31, 32</t>
  </si>
  <si>
    <t xml:space="preserve">Akarológia és nematológia </t>
  </si>
  <si>
    <t>Turóczi György</t>
  </si>
  <si>
    <t>Virológia, bakteriológia és fitoplazmák</t>
  </si>
  <si>
    <t>Szolgáltatásmegnevezése</t>
  </si>
  <si>
    <t>Szolgáltatás kiadásai</t>
  </si>
  <si>
    <t>Bevétel szolgáltatásból</t>
  </si>
  <si>
    <t>…</t>
  </si>
  <si>
    <t>projektvezető 
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</si>
</sst>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#,##0\ &quot;lei&quot;;[Red]\-#,##0\ &quot;lei&quot;"/>
    <numFmt numFmtId="165" formatCode="#,##0_ ;[Red]\-#,##0\ "/>
    <numFmt numFmtId="166" formatCode="0_ ;[Red]\-0\ "/>
    <numFmt numFmtId="167" formatCode="#,##0\ [$€-1]_);[Red]\(#,##0\ [$€-1]\)"/>
    <numFmt numFmtId="168" formatCode="#,##0\ [$Ft-40E];[Red]\-#,##0\ [$Ft-40E]"/>
    <numFmt numFmtId="169" formatCode="#,##0\ [$lei-418];[Red]\-#,##0\ [$lei-418]"/>
    <numFmt numFmtId="170" formatCode="#,##0\ [$lei-418]"/>
    <numFmt numFmtId="171" formatCode="#,##0.00000"/>
    <numFmt numFmtId="172" formatCode="#,##0.0000"/>
    <numFmt numFmtId="173" formatCode="#,##0\ [$€-1];[Red]\-#,##0\ [$€-1]"/>
    <numFmt numFmtId="174" formatCode="#,##0\ &quot;lei&quot;"/>
    <numFmt numFmtId="175" formatCode="d\-mmm\-yyyy"/>
    <numFmt numFmtId="176" formatCode="#,##0.00\ &quot;lei&quot;"/>
    <numFmt numFmtId="177" formatCode="#,##0.000000\ [$Ft-40E]"/>
    <numFmt numFmtId="178" formatCode="#,##0.000000\ &quot;lei&quot;"/>
    <numFmt numFmtId="179" formatCode="#,##0.0000\ &quot;lei&quot;"/>
    <numFmt numFmtId="180" formatCode="#,##0.00\ [$Ft-40E]"/>
  </numFmts>
  <fonts count="4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i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color theme="2" tint="-0.74999237037263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7" borderId="1" applyNumberFormat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2" applyNumberFormat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15" fillId="22" borderId="7" applyNumberFormat="0" applyFont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6" fillId="4" borderId="0" applyNumberFormat="0" applyBorder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6" fillId="0" borderId="0"/>
    <xf numFmtId="0" fontId="29" fillId="0" borderId="9" applyNumberFormat="0" applyFill="0" applyAlignment="0" applyProtection="0"/>
    <xf numFmtId="0" fontId="30" fillId="3" borderId="0" applyNumberFormat="0" applyBorder="0" applyAlignment="0" applyProtection="0"/>
    <xf numFmtId="0" fontId="31" fillId="23" borderId="0" applyNumberFormat="0" applyBorder="0" applyAlignment="0" applyProtection="0"/>
    <xf numFmtId="0" fontId="4" fillId="24" borderId="0">
      <alignment horizontal="left"/>
    </xf>
    <xf numFmtId="0" fontId="5" fillId="25" borderId="0">
      <alignment horizontal="left"/>
    </xf>
    <xf numFmtId="0" fontId="6" fillId="0" borderId="0">
      <alignment horizontal="left" indent="2"/>
    </xf>
    <xf numFmtId="0" fontId="6" fillId="0" borderId="0">
      <alignment horizontal="left" indent="2"/>
    </xf>
    <xf numFmtId="0" fontId="9" fillId="0" borderId="0">
      <alignment horizontal="left" indent="5"/>
    </xf>
    <xf numFmtId="0" fontId="32" fillId="20" borderId="1" applyNumberFormat="0" applyAlignment="0" applyProtection="0"/>
    <xf numFmtId="0" fontId="37" fillId="0" borderId="0"/>
    <xf numFmtId="0" fontId="37" fillId="0" borderId="0"/>
    <xf numFmtId="0" fontId="2" fillId="22" borderId="7" applyNumberFormat="0" applyFont="0" applyAlignment="0" applyProtection="0"/>
  </cellStyleXfs>
  <cellXfs count="320">
    <xf numFmtId="0" fontId="0" fillId="0" borderId="0" xfId="0"/>
    <xf numFmtId="169" fontId="11" fillId="1" borderId="10" xfId="43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vertical="center" wrapText="1"/>
    </xf>
    <xf numFmtId="171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4" applyNumberFormat="1" applyFont="1" applyFill="1" applyBorder="1" applyAlignment="1" applyProtection="1">
      <alignment horizontal="left" vertical="center" wrapText="1"/>
    </xf>
    <xf numFmtId="38" fontId="3" fillId="0" borderId="0" xfId="47" applyNumberFormat="1" applyFont="1" applyFill="1" applyBorder="1" applyAlignment="1" applyProtection="1">
      <alignment horizontal="right" vertical="center" wrapText="1"/>
    </xf>
    <xf numFmtId="0" fontId="2" fillId="0" borderId="0" xfId="45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8" fontId="2" fillId="0" borderId="0" xfId="0" applyNumberFormat="1" applyFont="1" applyFill="1" applyBorder="1" applyAlignment="1" applyProtection="1">
      <alignment horizontal="right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/>
    </xf>
    <xf numFmtId="166" fontId="2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165" fontId="1" fillId="0" borderId="11" xfId="0" applyNumberFormat="1" applyFont="1" applyFill="1" applyBorder="1" applyAlignment="1" applyProtection="1">
      <alignment horizontal="center" vertical="center" wrapText="1"/>
    </xf>
    <xf numFmtId="170" fontId="1" fillId="0" borderId="11" xfId="0" applyNumberFormat="1" applyFont="1" applyFill="1" applyBorder="1" applyAlignment="1" applyProtection="1">
      <alignment horizontal="center" vertical="center" wrapText="1"/>
    </xf>
    <xf numFmtId="17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164" fontId="1" fillId="0" borderId="10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horizontal="center" vertical="center" wrapText="1"/>
    </xf>
    <xf numFmtId="173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vertical="top" wrapText="1"/>
      <protection locked="0"/>
    </xf>
    <xf numFmtId="170" fontId="2" fillId="0" borderId="0" xfId="0" applyNumberFormat="1" applyFont="1" applyFill="1" applyBorder="1" applyAlignment="1" applyProtection="1">
      <alignment horizontal="center" vertical="top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9" fontId="2" fillId="0" borderId="0" xfId="0" applyNumberFormat="1" applyFont="1" applyFill="1" applyBorder="1" applyAlignment="1" applyProtection="1">
      <alignment horizontal="center" vertical="center" wrapText="1"/>
    </xf>
    <xf numFmtId="164" fontId="1" fillId="0" borderId="11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left" vertical="center" indent="1"/>
    </xf>
    <xf numFmtId="164" fontId="1" fillId="0" borderId="10" xfId="0" applyNumberFormat="1" applyFont="1" applyFill="1" applyBorder="1" applyAlignment="1" applyProtection="1">
      <alignment vertical="center" wrapText="1"/>
    </xf>
    <xf numFmtId="17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171" fontId="1" fillId="0" borderId="0" xfId="0" applyNumberFormat="1" applyFont="1" applyFill="1" applyBorder="1" applyAlignment="1" applyProtection="1">
      <alignment vertical="center" wrapText="1"/>
    </xf>
    <xf numFmtId="38" fontId="1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168" fontId="8" fillId="0" borderId="10" xfId="45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172" fontId="7" fillId="0" borderId="0" xfId="0" applyNumberFormat="1" applyFont="1" applyFill="1" applyBorder="1" applyAlignment="1" applyProtection="1">
      <alignment horizontal="right" vertical="center" wrapText="1"/>
    </xf>
    <xf numFmtId="3" fontId="11" fillId="0" borderId="14" xfId="39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3" fontId="11" fillId="1" borderId="11" xfId="43" applyNumberFormat="1" applyFont="1" applyFill="1" applyBorder="1" applyAlignment="1" applyProtection="1">
      <alignment horizontal="left" vertical="center" wrapText="1"/>
    </xf>
    <xf numFmtId="168" fontId="11" fillId="1" borderId="11" xfId="43" applyNumberFormat="1" applyFont="1" applyFill="1" applyBorder="1" applyAlignment="1" applyProtection="1">
      <alignment horizontal="right" vertical="center" wrapText="1"/>
    </xf>
    <xf numFmtId="169" fontId="11" fillId="1" borderId="12" xfId="43" applyNumberFormat="1" applyFont="1" applyFill="1" applyBorder="1" applyAlignment="1" applyProtection="1">
      <alignment horizontal="right" vertical="center" wrapText="1"/>
    </xf>
    <xf numFmtId="169" fontId="12" fillId="0" borderId="13" xfId="44" applyNumberFormat="1" applyFont="1" applyFill="1" applyBorder="1" applyAlignment="1" applyProtection="1">
      <alignment horizontal="right" vertical="center" wrapText="1"/>
    </xf>
    <xf numFmtId="3" fontId="11" fillId="1" borderId="10" xfId="43" applyNumberFormat="1" applyFont="1" applyFill="1" applyBorder="1" applyAlignment="1" applyProtection="1">
      <alignment horizontal="left" vertical="center" wrapText="1"/>
    </xf>
    <xf numFmtId="168" fontId="11" fillId="1" borderId="10" xfId="43" applyNumberFormat="1" applyFont="1" applyFill="1" applyBorder="1" applyAlignment="1" applyProtection="1">
      <alignment horizontal="right" vertical="center" wrapText="1"/>
    </xf>
    <xf numFmtId="169" fontId="11" fillId="1" borderId="13" xfId="43" applyNumberFormat="1" applyFont="1" applyFill="1" applyBorder="1" applyAlignment="1" applyProtection="1">
      <alignment horizontal="right" vertical="center" wrapText="1"/>
    </xf>
    <xf numFmtId="3" fontId="11" fillId="1" borderId="15" xfId="43" applyNumberFormat="1" applyFont="1" applyFill="1" applyBorder="1" applyAlignment="1" applyProtection="1">
      <alignment horizontal="left" vertical="center" wrapText="1"/>
    </xf>
    <xf numFmtId="168" fontId="11" fillId="1" borderId="16" xfId="43" applyNumberFormat="1" applyFont="1" applyFill="1" applyBorder="1" applyAlignment="1" applyProtection="1">
      <alignment horizontal="right" vertical="center" wrapText="1"/>
    </xf>
    <xf numFmtId="169" fontId="11" fillId="1" borderId="17" xfId="43" applyNumberFormat="1" applyFont="1" applyFill="1" applyBorder="1" applyAlignment="1" applyProtection="1">
      <alignment horizontal="right" vertical="center" wrapText="1"/>
    </xf>
    <xf numFmtId="3" fontId="11" fillId="0" borderId="0" xfId="43" applyNumberFormat="1" applyFont="1" applyFill="1" applyBorder="1" applyAlignment="1" applyProtection="1">
      <alignment horizontal="left" vertical="center" wrapText="1"/>
    </xf>
    <xf numFmtId="168" fontId="11" fillId="0" borderId="0" xfId="43" applyNumberFormat="1" applyFont="1" applyFill="1" applyBorder="1" applyAlignment="1" applyProtection="1">
      <alignment horizontal="right" vertical="center" wrapText="1"/>
    </xf>
    <xf numFmtId="169" fontId="11" fillId="0" borderId="0" xfId="43" applyNumberFormat="1" applyFont="1" applyFill="1" applyBorder="1" applyAlignment="1" applyProtection="1">
      <alignment horizontal="right" vertical="center" wrapText="1"/>
    </xf>
    <xf numFmtId="3" fontId="11" fillId="0" borderId="18" xfId="39" applyNumberFormat="1" applyFont="1" applyFill="1" applyBorder="1" applyAlignment="1" applyProtection="1">
      <alignment horizontal="center" vertical="center" wrapText="1"/>
    </xf>
    <xf numFmtId="168" fontId="11" fillId="1" borderId="19" xfId="43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 wrapText="1"/>
    </xf>
    <xf numFmtId="168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169" fontId="3" fillId="1" borderId="12" xfId="43" applyNumberFormat="1" applyFont="1" applyFill="1" applyBorder="1" applyAlignment="1" applyProtection="1">
      <alignment horizontal="right" vertical="center" wrapText="1"/>
    </xf>
    <xf numFmtId="169" fontId="3" fillId="1" borderId="13" xfId="43" applyNumberFormat="1" applyFont="1" applyFill="1" applyBorder="1" applyAlignment="1" applyProtection="1">
      <alignment horizontal="right" vertical="center" wrapText="1"/>
    </xf>
    <xf numFmtId="169" fontId="3" fillId="1" borderId="17" xfId="43" applyNumberFormat="1" applyFont="1" applyFill="1" applyBorder="1" applyAlignment="1" applyProtection="1">
      <alignment horizontal="right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168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3" fontId="12" fillId="0" borderId="10" xfId="44" applyNumberFormat="1" applyFont="1" applyFill="1" applyBorder="1" applyAlignment="1" applyProtection="1">
      <alignment horizontal="left" vertical="center" wrapText="1" indent="1"/>
    </xf>
    <xf numFmtId="3" fontId="12" fillId="0" borderId="25" xfId="44" applyNumberFormat="1" applyFont="1" applyFill="1" applyBorder="1" applyAlignment="1" applyProtection="1">
      <alignment horizontal="left" vertical="center" wrapText="1" inden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top" wrapText="1"/>
    </xf>
    <xf numFmtId="0" fontId="13" fillId="0" borderId="18" xfId="0" applyFont="1" applyFill="1" applyBorder="1" applyAlignment="1" applyProtection="1">
      <alignment vertical="center" wrapText="1"/>
    </xf>
    <xf numFmtId="170" fontId="13" fillId="0" borderId="18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170" fontId="13" fillId="0" borderId="18" xfId="0" applyNumberFormat="1" applyFont="1" applyFill="1" applyBorder="1" applyAlignment="1" applyProtection="1">
      <alignment vertical="center" wrapText="1"/>
    </xf>
    <xf numFmtId="170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</xf>
    <xf numFmtId="172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3" fontId="2" fillId="0" borderId="10" xfId="44" applyNumberFormat="1" applyFont="1" applyFill="1" applyBorder="1" applyAlignment="1" applyProtection="1">
      <alignment horizontal="left" vertical="center" wrapText="1"/>
    </xf>
    <xf numFmtId="168" fontId="2" fillId="0" borderId="10" xfId="44" applyNumberFormat="1" applyFont="1" applyFill="1" applyBorder="1" applyAlignment="1" applyProtection="1">
      <alignment horizontal="right" vertical="center" wrapText="1"/>
    </xf>
    <xf numFmtId="3" fontId="2" fillId="0" borderId="10" xfId="45" applyNumberFormat="1" applyFont="1" applyFill="1" applyBorder="1" applyAlignment="1" applyProtection="1">
      <alignment horizontal="left" vertical="center" wrapText="1" indent="1"/>
    </xf>
    <xf numFmtId="168" fontId="2" fillId="0" borderId="10" xfId="45" applyNumberFormat="1" applyFont="1" applyFill="1" applyBorder="1" applyAlignment="1" applyProtection="1">
      <alignment horizontal="right" vertical="center" wrapText="1"/>
    </xf>
    <xf numFmtId="3" fontId="3" fillId="1" borderId="10" xfId="43" applyNumberFormat="1" applyFont="1" applyFill="1" applyBorder="1" applyAlignment="1" applyProtection="1">
      <alignment horizontal="left" vertical="center" wrapText="1"/>
    </xf>
    <xf numFmtId="168" fontId="3" fillId="1" borderId="10" xfId="43" applyNumberFormat="1" applyFont="1" applyFill="1" applyBorder="1" applyAlignment="1" applyProtection="1">
      <alignment horizontal="right" vertical="center" wrapText="1"/>
    </xf>
    <xf numFmtId="3" fontId="3" fillId="0" borderId="0" xfId="43" applyNumberFormat="1" applyFont="1" applyFill="1" applyBorder="1" applyAlignment="1" applyProtection="1">
      <alignment horizontal="left" vertical="center" wrapText="1"/>
    </xf>
    <xf numFmtId="168" fontId="3" fillId="0" borderId="0" xfId="43" applyNumberFormat="1" applyFont="1" applyFill="1" applyBorder="1" applyAlignment="1" applyProtection="1">
      <alignment horizontal="right" vertical="center" wrapText="1"/>
    </xf>
    <xf numFmtId="169" fontId="3" fillId="0" borderId="0" xfId="43" applyNumberFormat="1" applyFont="1" applyFill="1" applyBorder="1" applyAlignment="1" applyProtection="1">
      <alignment horizontal="right" vertical="center" wrapText="1"/>
    </xf>
    <xf numFmtId="168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 indent="1"/>
    </xf>
    <xf numFmtId="168" fontId="2" fillId="0" borderId="0" xfId="44" applyNumberFormat="1" applyFont="1" applyFill="1" applyBorder="1" applyAlignment="1" applyProtection="1">
      <alignment horizontal="right" vertical="center" wrapText="1"/>
    </xf>
    <xf numFmtId="3" fontId="2" fillId="27" borderId="10" xfId="45" applyNumberFormat="1" applyFont="1" applyFill="1" applyBorder="1" applyAlignment="1" applyProtection="1">
      <alignment horizontal="left" vertical="center" wrapText="1" indent="2"/>
    </xf>
    <xf numFmtId="3" fontId="2" fillId="27" borderId="10" xfId="45" applyNumberFormat="1" applyFont="1" applyFill="1" applyBorder="1" applyAlignment="1" applyProtection="1">
      <alignment horizontal="left" vertical="center" wrapText="1" indent="1"/>
    </xf>
    <xf numFmtId="3" fontId="2" fillId="27" borderId="10" xfId="44" applyNumberFormat="1" applyFont="1" applyFill="1" applyBorder="1" applyAlignment="1" applyProtection="1">
      <alignment horizontal="left" vertical="center" wrapText="1"/>
    </xf>
    <xf numFmtId="169" fontId="2" fillId="0" borderId="10" xfId="44" applyNumberFormat="1" applyFont="1" applyFill="1" applyBorder="1" applyAlignment="1" applyProtection="1">
      <alignment horizontal="right" vertical="top" wrapText="1"/>
    </xf>
    <xf numFmtId="169" fontId="2" fillId="0" borderId="10" xfId="45" applyNumberFormat="1" applyFont="1" applyFill="1" applyBorder="1" applyAlignment="1" applyProtection="1">
      <alignment horizontal="right" vertical="top" wrapText="1"/>
    </xf>
    <xf numFmtId="169" fontId="2" fillId="0" borderId="10" xfId="45" applyNumberFormat="1" applyFont="1" applyFill="1" applyBorder="1" applyAlignment="1" applyProtection="1">
      <alignment horizontal="right" vertical="top" wrapText="1"/>
      <protection locked="0"/>
    </xf>
    <xf numFmtId="3" fontId="2" fillId="0" borderId="10" xfId="45" applyNumberFormat="1" applyFont="1" applyFill="1" applyBorder="1" applyAlignment="1" applyProtection="1">
      <alignment horizontal="left" vertical="center" wrapText="1" indent="2"/>
    </xf>
    <xf numFmtId="169" fontId="2" fillId="27" borderId="10" xfId="45" applyNumberFormat="1" applyFont="1" applyFill="1" applyBorder="1" applyAlignment="1" applyProtection="1">
      <alignment horizontal="right" vertical="top" wrapText="1"/>
      <protection locked="0"/>
    </xf>
    <xf numFmtId="169" fontId="2" fillId="27" borderId="10" xfId="44" applyNumberFormat="1" applyFont="1" applyFill="1" applyBorder="1" applyAlignment="1" applyProtection="1">
      <alignment horizontal="right" vertical="top" wrapText="1"/>
      <protection locked="0"/>
    </xf>
    <xf numFmtId="169" fontId="2" fillId="27" borderId="10" xfId="45" applyNumberFormat="1" applyFont="1" applyFill="1" applyBorder="1" applyAlignment="1" applyProtection="1">
      <alignment horizontal="right" vertical="top" wrapText="1"/>
    </xf>
    <xf numFmtId="169" fontId="2" fillId="27" borderId="10" xfId="44" applyNumberFormat="1" applyFont="1" applyFill="1" applyBorder="1" applyAlignment="1" applyProtection="1">
      <alignment horizontal="right" vertical="top" wrapText="1"/>
    </xf>
    <xf numFmtId="169" fontId="3" fillId="0" borderId="10" xfId="0" applyNumberFormat="1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vertical="top" wrapText="1"/>
    </xf>
    <xf numFmtId="0" fontId="2" fillId="27" borderId="10" xfId="0" applyNumberFormat="1" applyFont="1" applyFill="1" applyBorder="1" applyAlignment="1" applyProtection="1">
      <alignment horizontal="right" vertical="top" wrapText="1"/>
    </xf>
    <xf numFmtId="0" fontId="2" fillId="0" borderId="10" xfId="0" applyNumberFormat="1" applyFont="1" applyFill="1" applyBorder="1" applyAlignment="1" applyProtection="1">
      <alignment horizontal="right" vertical="top" wrapText="1"/>
    </xf>
    <xf numFmtId="0" fontId="2" fillId="27" borderId="10" xfId="0" applyFont="1" applyFill="1" applyBorder="1" applyAlignment="1" applyProtection="1">
      <alignment vertical="top" wrapText="1"/>
    </xf>
    <xf numFmtId="3" fontId="3" fillId="0" borderId="0" xfId="39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169" fontId="3" fillId="1" borderId="10" xfId="43" applyNumberFormat="1" applyFont="1" applyFill="1" applyBorder="1" applyAlignment="1" applyProtection="1">
      <alignment horizontal="right" vertical="center" wrapText="1"/>
    </xf>
    <xf numFmtId="169" fontId="2" fillId="0" borderId="10" xfId="44" applyNumberFormat="1" applyFont="1" applyFill="1" applyBorder="1" applyAlignment="1" applyProtection="1">
      <alignment horizontal="right" vertical="center" wrapText="1"/>
    </xf>
    <xf numFmtId="169" fontId="2" fillId="0" borderId="10" xfId="45" applyNumberFormat="1" applyFont="1" applyFill="1" applyBorder="1" applyAlignment="1" applyProtection="1">
      <alignment horizontal="right" vertical="center" wrapText="1"/>
    </xf>
    <xf numFmtId="169" fontId="2" fillId="27" borderId="10" xfId="45" applyNumberFormat="1" applyFont="1" applyFill="1" applyBorder="1" applyAlignment="1" applyProtection="1">
      <alignment horizontal="right" vertical="center" wrapText="1"/>
      <protection locked="0"/>
    </xf>
    <xf numFmtId="169" fontId="2" fillId="27" borderId="10" xfId="44" applyNumberFormat="1" applyFont="1" applyFill="1" applyBorder="1" applyAlignment="1" applyProtection="1">
      <alignment horizontal="right" vertical="center" wrapText="1"/>
      <protection locked="0"/>
    </xf>
    <xf numFmtId="0" fontId="2" fillId="27" borderId="10" xfId="0" applyFont="1" applyFill="1" applyBorder="1" applyAlignment="1" applyProtection="1">
      <alignment vertical="center" wrapText="1"/>
      <protection locked="0"/>
    </xf>
    <xf numFmtId="169" fontId="3" fillId="28" borderId="10" xfId="43" applyNumberFormat="1" applyFont="1" applyFill="1" applyBorder="1" applyAlignment="1" applyProtection="1">
      <alignment horizontal="right"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49" fontId="35" fillId="0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0" fontId="2" fillId="26" borderId="10" xfId="0" applyFont="1" applyFill="1" applyBorder="1" applyAlignment="1" applyProtection="1">
      <alignment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36" fillId="0" borderId="11" xfId="0" applyNumberFormat="1" applyFont="1" applyFill="1" applyBorder="1" applyAlignment="1" applyProtection="1">
      <alignment horizontal="center" vertical="center" wrapText="1"/>
    </xf>
    <xf numFmtId="3" fontId="2" fillId="0" borderId="23" xfId="0" applyNumberFormat="1" applyFont="1" applyFill="1" applyBorder="1" applyAlignment="1" applyProtection="1">
      <alignment vertical="top" wrapText="1"/>
    </xf>
    <xf numFmtId="3" fontId="2" fillId="0" borderId="0" xfId="0" applyNumberFormat="1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0" fontId="37" fillId="0" borderId="10" xfId="0" applyFont="1" applyBorder="1" applyAlignment="1">
      <alignment horizontal="center" wrapText="1"/>
    </xf>
    <xf numFmtId="0" fontId="37" fillId="0" borderId="10" xfId="0" applyFont="1" applyBorder="1"/>
    <xf numFmtId="0" fontId="37" fillId="0" borderId="10" xfId="0" applyFont="1" applyBorder="1" applyAlignment="1">
      <alignment horizontal="center"/>
    </xf>
    <xf numFmtId="170" fontId="37" fillId="0" borderId="10" xfId="38" applyNumberFormat="1" applyFont="1" applyFill="1" applyBorder="1" applyAlignment="1">
      <alignment horizontal="center"/>
    </xf>
    <xf numFmtId="3" fontId="37" fillId="0" borderId="10" xfId="0" applyNumberFormat="1" applyFont="1" applyBorder="1" applyAlignment="1">
      <alignment horizontal="center"/>
    </xf>
    <xf numFmtId="0" fontId="37" fillId="0" borderId="10" xfId="0" applyFont="1" applyBorder="1" applyAlignment="1">
      <alignment horizontal="left"/>
    </xf>
    <xf numFmtId="3" fontId="37" fillId="0" borderId="10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left"/>
    </xf>
    <xf numFmtId="0" fontId="37" fillId="0" borderId="0" xfId="0" applyFont="1"/>
    <xf numFmtId="0" fontId="37" fillId="0" borderId="10" xfId="0" applyFont="1" applyBorder="1" applyAlignment="1">
      <alignment wrapText="1"/>
    </xf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Border="1" applyAlignment="1" applyProtection="1">
      <alignment horizontal="center" vertical="top"/>
    </xf>
    <xf numFmtId="179" fontId="37" fillId="29" borderId="10" xfId="0" applyNumberFormat="1" applyFont="1" applyFill="1" applyBorder="1" applyAlignment="1" applyProtection="1">
      <alignment vertical="center" wrapText="1"/>
    </xf>
    <xf numFmtId="178" fontId="37" fillId="0" borderId="0" xfId="0" applyNumberFormat="1" applyFont="1" applyFill="1" applyBorder="1" applyAlignment="1" applyProtection="1">
      <alignment vertical="center" wrapText="1"/>
    </xf>
    <xf numFmtId="0" fontId="37" fillId="0" borderId="10" xfId="0" applyFont="1" applyFill="1" applyBorder="1" applyAlignment="1" applyProtection="1">
      <alignment horizontal="left" vertical="center"/>
    </xf>
    <xf numFmtId="0" fontId="37" fillId="29" borderId="10" xfId="0" applyFont="1" applyFill="1" applyBorder="1"/>
    <xf numFmtId="0" fontId="37" fillId="0" borderId="0" xfId="49" applyFont="1"/>
    <xf numFmtId="176" fontId="37" fillId="29" borderId="10" xfId="0" applyNumberFormat="1" applyFont="1" applyFill="1" applyBorder="1" applyAlignment="1" applyProtection="1">
      <alignment vertical="center" wrapText="1"/>
    </xf>
    <xf numFmtId="174" fontId="37" fillId="29" borderId="10" xfId="0" applyNumberFormat="1" applyFont="1" applyFill="1" applyBorder="1" applyAlignment="1" applyProtection="1">
      <alignment horizontal="center" vertical="center" wrapText="1"/>
    </xf>
    <xf numFmtId="180" fontId="37" fillId="0" borderId="10" xfId="0" applyNumberFormat="1" applyFont="1" applyFill="1" applyBorder="1" applyAlignment="1" applyProtection="1">
      <alignment horizontal="right" vertical="top" wrapText="1"/>
    </xf>
    <xf numFmtId="177" fontId="37" fillId="0" borderId="0" xfId="0" applyNumberFormat="1" applyFont="1" applyFill="1" applyBorder="1" applyAlignment="1" applyProtection="1">
      <alignment horizontal="right" vertical="top" wrapText="1"/>
    </xf>
    <xf numFmtId="176" fontId="37" fillId="0" borderId="0" xfId="0" applyNumberFormat="1" applyFont="1" applyFill="1" applyBorder="1" applyAlignment="1" applyProtection="1">
      <alignment vertical="center" wrapText="1"/>
    </xf>
    <xf numFmtId="0" fontId="37" fillId="29" borderId="10" xfId="0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 wrapText="1"/>
    </xf>
    <xf numFmtId="10" fontId="37" fillId="29" borderId="10" xfId="0" applyNumberFormat="1" applyFont="1" applyFill="1" applyBorder="1" applyAlignment="1" applyProtection="1">
      <alignment vertical="center" wrapText="1"/>
    </xf>
    <xf numFmtId="9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174" fontId="37" fillId="29" borderId="10" xfId="0" applyNumberFormat="1" applyFont="1" applyFill="1" applyBorder="1" applyAlignment="1" applyProtection="1">
      <alignment vertical="center" wrapText="1"/>
    </xf>
    <xf numFmtId="174" fontId="37" fillId="0" borderId="10" xfId="0" applyNumberFormat="1" applyFont="1" applyFill="1" applyBorder="1" applyAlignment="1" applyProtection="1">
      <alignment vertical="center" wrapText="1"/>
    </xf>
    <xf numFmtId="49" fontId="37" fillId="0" borderId="0" xfId="0" applyNumberFormat="1" applyFont="1" applyFill="1" applyAlignment="1">
      <alignment horizontal="left"/>
    </xf>
    <xf numFmtId="175" fontId="37" fillId="0" borderId="0" xfId="0" applyNumberFormat="1" applyFont="1" applyFill="1" applyAlignment="1">
      <alignment horizontal="left"/>
    </xf>
    <xf numFmtId="0" fontId="37" fillId="0" borderId="0" xfId="0" applyFont="1" applyFill="1" applyAlignment="1">
      <alignment horizontal="left"/>
    </xf>
    <xf numFmtId="3" fontId="37" fillId="0" borderId="0" xfId="0" applyNumberFormat="1" applyFont="1" applyFill="1" applyAlignment="1">
      <alignment horizontal="left"/>
    </xf>
    <xf numFmtId="0" fontId="37" fillId="0" borderId="10" xfId="0" applyFont="1" applyFill="1" applyBorder="1"/>
    <xf numFmtId="0" fontId="37" fillId="29" borderId="10" xfId="0" applyFont="1" applyFill="1" applyBorder="1" applyAlignment="1">
      <alignment horizontal="center"/>
    </xf>
    <xf numFmtId="0" fontId="37" fillId="29" borderId="10" xfId="0" applyFont="1" applyFill="1" applyBorder="1" applyAlignment="1" applyProtection="1">
      <alignment vertical="top" wrapText="1"/>
    </xf>
    <xf numFmtId="0" fontId="37" fillId="0" borderId="0" xfId="0" applyFont="1" applyFill="1" applyBorder="1" applyAlignment="1" applyProtection="1">
      <alignment vertical="top"/>
    </xf>
    <xf numFmtId="174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top" wrapText="1"/>
    </xf>
    <xf numFmtId="49" fontId="39" fillId="0" borderId="10" xfId="0" applyNumberFormat="1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1" fillId="29" borderId="10" xfId="0" applyFont="1" applyFill="1" applyBorder="1" applyAlignment="1" applyProtection="1">
      <alignment vertical="center" wrapText="1"/>
      <protection locked="0"/>
    </xf>
    <xf numFmtId="164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</xf>
    <xf numFmtId="49" fontId="1" fillId="29" borderId="10" xfId="0" applyNumberFormat="1" applyFont="1" applyFill="1" applyBorder="1" applyAlignment="1" applyProtection="1">
      <alignment vertical="center" wrapText="1"/>
      <protection locked="0"/>
    </xf>
    <xf numFmtId="164" fontId="1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Alignment="1">
      <alignment horizontal="center" wrapText="1"/>
    </xf>
    <xf numFmtId="0" fontId="1" fillId="29" borderId="11" xfId="0" applyFont="1" applyFill="1" applyBorder="1" applyAlignment="1" applyProtection="1">
      <alignment vertical="center" wrapText="1"/>
      <protection locked="0"/>
    </xf>
    <xf numFmtId="165" fontId="1" fillId="29" borderId="11" xfId="0" applyNumberFormat="1" applyFont="1" applyFill="1" applyBorder="1" applyAlignment="1" applyProtection="1">
      <alignment horizontal="center" vertical="center" wrapText="1"/>
      <protection locked="0"/>
    </xf>
    <xf numFmtId="9" fontId="1" fillId="29" borderId="10" xfId="0" applyNumberFormat="1" applyFont="1" applyFill="1" applyBorder="1" applyAlignment="1" applyProtection="1">
      <alignment vertical="center"/>
      <protection locked="0"/>
    </xf>
    <xf numFmtId="0" fontId="1" fillId="29" borderId="10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vertical="center" wrapText="1"/>
    </xf>
    <xf numFmtId="170" fontId="1" fillId="29" borderId="11" xfId="0" applyNumberFormat="1" applyFont="1" applyFill="1" applyBorder="1" applyAlignment="1" applyProtection="1">
      <alignment horizontal="center" vertical="center" wrapText="1"/>
    </xf>
    <xf numFmtId="0" fontId="1" fillId="29" borderId="11" xfId="0" applyFont="1" applyFill="1" applyBorder="1" applyAlignment="1" applyProtection="1">
      <alignment horizontal="left" vertical="center"/>
      <protection locked="0"/>
    </xf>
    <xf numFmtId="0" fontId="1" fillId="29" borderId="11" xfId="0" applyFont="1" applyFill="1" applyBorder="1" applyAlignment="1" applyProtection="1">
      <alignment horizontal="center" vertical="center"/>
      <protection locked="0"/>
    </xf>
    <xf numFmtId="0" fontId="1" fillId="29" borderId="12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left" vertical="center"/>
      <protection locked="0"/>
    </xf>
    <xf numFmtId="0" fontId="1" fillId="29" borderId="13" xfId="0" applyFont="1" applyFill="1" applyBorder="1" applyAlignment="1" applyProtection="1">
      <alignment horizontal="center" vertical="center"/>
      <protection locked="0"/>
    </xf>
    <xf numFmtId="164" fontId="2" fillId="29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29" borderId="10" xfId="0" applyNumberFormat="1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</xf>
    <xf numFmtId="164" fontId="2" fillId="29" borderId="10" xfId="0" applyNumberFormat="1" applyFont="1" applyFill="1" applyBorder="1" applyAlignment="1" applyProtection="1">
      <alignment vertical="center" wrapText="1"/>
      <protection locked="0"/>
    </xf>
    <xf numFmtId="165" fontId="2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9" borderId="0" xfId="0" applyFill="1"/>
    <xf numFmtId="0" fontId="39" fillId="0" borderId="0" xfId="0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vertical="center" wrapText="1"/>
    </xf>
    <xf numFmtId="169" fontId="2" fillId="0" borderId="0" xfId="0" applyNumberFormat="1" applyFont="1" applyFill="1" applyBorder="1" applyAlignment="1" applyProtection="1">
      <alignment vertical="center" wrapText="1"/>
    </xf>
    <xf numFmtId="170" fontId="37" fillId="0" borderId="0" xfId="0" applyNumberFormat="1" applyFont="1"/>
    <xf numFmtId="0" fontId="37" fillId="0" borderId="0" xfId="0" applyFont="1" applyAlignment="1">
      <alignment wrapText="1"/>
    </xf>
    <xf numFmtId="170" fontId="0" fillId="0" borderId="0" xfId="0" applyNumberFormat="1" applyAlignment="1">
      <alignment horizontal="center"/>
    </xf>
    <xf numFmtId="0" fontId="1" fillId="30" borderId="10" xfId="0" applyFont="1" applyFill="1" applyBorder="1" applyAlignment="1" applyProtection="1">
      <alignment vertical="center" wrapText="1"/>
      <protection locked="0"/>
    </xf>
    <xf numFmtId="0" fontId="1" fillId="31" borderId="10" xfId="0" applyFont="1" applyFill="1" applyBorder="1" applyAlignment="1" applyProtection="1">
      <alignment vertical="center" wrapText="1"/>
      <protection locked="0"/>
    </xf>
    <xf numFmtId="0" fontId="1" fillId="32" borderId="10" xfId="0" applyFont="1" applyFill="1" applyBorder="1" applyAlignment="1" applyProtection="1">
      <alignment vertical="center" wrapText="1"/>
      <protection locked="0"/>
    </xf>
    <xf numFmtId="0" fontId="37" fillId="30" borderId="10" xfId="0" applyFont="1" applyFill="1" applyBorder="1" applyAlignment="1">
      <alignment horizontal="center"/>
    </xf>
    <xf numFmtId="170" fontId="37" fillId="30" borderId="10" xfId="38" applyNumberFormat="1" applyFont="1" applyFill="1" applyBorder="1" applyAlignment="1">
      <alignment horizontal="center"/>
    </xf>
    <xf numFmtId="0" fontId="1" fillId="33" borderId="11" xfId="0" applyFont="1" applyFill="1" applyBorder="1" applyAlignment="1" applyProtection="1">
      <alignment vertical="center" wrapText="1"/>
      <protection locked="0"/>
    </xf>
    <xf numFmtId="0" fontId="1" fillId="33" borderId="10" xfId="0" applyFont="1" applyFill="1" applyBorder="1" applyAlignment="1" applyProtection="1">
      <alignment vertical="center" wrapText="1"/>
      <protection locked="0"/>
    </xf>
    <xf numFmtId="0" fontId="42" fillId="30" borderId="10" xfId="0" applyFont="1" applyFill="1" applyBorder="1" applyAlignment="1" applyProtection="1">
      <alignment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0" applyFont="1" applyFill="1" applyBorder="1" applyAlignment="1" applyProtection="1">
      <alignment vertical="center" wrapText="1"/>
      <protection locked="0"/>
    </xf>
    <xf numFmtId="165" fontId="1" fillId="29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0" applyFont="1" applyFill="1" applyBorder="1" applyAlignment="1" applyProtection="1">
      <alignment vertical="center" wrapText="1"/>
      <protection locked="0"/>
    </xf>
    <xf numFmtId="165" fontId="1" fillId="29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left" vertical="center"/>
      <protection locked="0"/>
    </xf>
    <xf numFmtId="0" fontId="1" fillId="29" borderId="13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left" vertical="center"/>
      <protection locked="0"/>
    </xf>
    <xf numFmtId="0" fontId="1" fillId="29" borderId="13" xfId="0" applyFont="1" applyFill="1" applyBorder="1" applyAlignment="1" applyProtection="1">
      <alignment horizontal="center" vertical="center"/>
      <protection locked="0"/>
    </xf>
    <xf numFmtId="0" fontId="1" fillId="29" borderId="10" xfId="50" applyFont="1" applyFill="1" applyBorder="1" applyAlignment="1" applyProtection="1">
      <alignment vertical="center" wrapText="1"/>
      <protection locked="0"/>
    </xf>
    <xf numFmtId="165" fontId="1" fillId="29" borderId="10" xfId="5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50" applyFont="1" applyFill="1" applyBorder="1" applyAlignment="1" applyProtection="1">
      <alignment vertical="center" wrapText="1"/>
      <protection locked="0"/>
    </xf>
    <xf numFmtId="165" fontId="1" fillId="29" borderId="11" xfId="5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50" applyFont="1" applyFill="1" applyBorder="1" applyAlignment="1" applyProtection="1">
      <alignment vertical="center" wrapText="1"/>
      <protection locked="0"/>
    </xf>
    <xf numFmtId="165" fontId="1" fillId="29" borderId="10" xfId="5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50" applyFont="1" applyFill="1" applyBorder="1" applyAlignment="1" applyProtection="1">
      <alignment vertical="center" wrapText="1"/>
      <protection locked="0"/>
    </xf>
    <xf numFmtId="9" fontId="1" fillId="29" borderId="10" xfId="50" applyNumberFormat="1" applyFont="1" applyFill="1" applyBorder="1" applyAlignment="1" applyProtection="1">
      <alignment vertical="center"/>
      <protection locked="0"/>
    </xf>
    <xf numFmtId="0" fontId="1" fillId="29" borderId="10" xfId="50" applyFont="1" applyFill="1" applyBorder="1" applyAlignment="1" applyProtection="1">
      <alignment horizontal="center" vertical="center"/>
      <protection locked="0"/>
    </xf>
    <xf numFmtId="0" fontId="1" fillId="29" borderId="10" xfId="50" applyFont="1" applyFill="1" applyBorder="1" applyAlignment="1" applyProtection="1">
      <alignment vertical="center" wrapText="1"/>
      <protection locked="0"/>
    </xf>
    <xf numFmtId="165" fontId="1" fillId="29" borderId="10" xfId="5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7" fillId="0" borderId="13" xfId="0" applyFont="1" applyBorder="1" applyAlignment="1">
      <alignment horizontal="center" wrapText="1"/>
    </xf>
    <xf numFmtId="0" fontId="37" fillId="0" borderId="26" xfId="0" applyFont="1" applyBorder="1" applyAlignment="1">
      <alignment horizontal="center" wrapText="1"/>
    </xf>
    <xf numFmtId="170" fontId="38" fillId="0" borderId="10" xfId="0" applyNumberFormat="1" applyFont="1" applyFill="1" applyBorder="1" applyAlignment="1">
      <alignment horizontal="center"/>
    </xf>
    <xf numFmtId="0" fontId="37" fillId="0" borderId="0" xfId="49" applyFont="1" applyAlignment="1">
      <alignment horizontal="center" wrapText="1"/>
    </xf>
    <xf numFmtId="0" fontId="37" fillId="0" borderId="23" xfId="49" applyFont="1" applyBorder="1" applyAlignment="1">
      <alignment horizontal="center" wrapText="1"/>
    </xf>
    <xf numFmtId="170" fontId="37" fillId="0" borderId="27" xfId="38" applyNumberFormat="1" applyFont="1" applyFill="1" applyBorder="1" applyAlignment="1">
      <alignment horizontal="center" vertical="center"/>
    </xf>
    <xf numFmtId="170" fontId="37" fillId="0" borderId="11" xfId="38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 applyProtection="1">
      <alignment horizontal="left" vertical="top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7" fillId="0" borderId="13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0" xfId="49" applyFont="1" applyAlignment="1">
      <alignment horizontal="center" vertical="center" wrapText="1"/>
    </xf>
    <xf numFmtId="0" fontId="37" fillId="0" borderId="23" xfId="49" applyFont="1" applyBorder="1" applyAlignment="1">
      <alignment horizontal="center" vertical="center" wrapText="1"/>
    </xf>
    <xf numFmtId="3" fontId="3" fillId="1" borderId="0" xfId="43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67" fontId="2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left" vertical="center" wrapText="1"/>
    </xf>
    <xf numFmtId="0" fontId="2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167" fontId="12" fillId="0" borderId="18" xfId="0" applyNumberFormat="1" applyFont="1" applyFill="1" applyBorder="1" applyAlignment="1" applyProtection="1">
      <alignment horizontal="center" vertical="center" wrapText="1"/>
    </xf>
  </cellXfs>
  <cellStyles count="5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Figyelmeztetés" xfId="26"/>
    <cellStyle name="Hivatkozott cella" xfId="27"/>
    <cellStyle name="Jegyzet" xfId="28"/>
    <cellStyle name="Jegyzet 2" xfId="5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50"/>
    <cellStyle name="Normal_Cs" xfId="39"/>
    <cellStyle name="Normal_társult órabéres" xfId="49"/>
    <cellStyle name="Összesen" xfId="40"/>
    <cellStyle name="Rossz" xfId="41"/>
    <cellStyle name="Semleges" xfId="42"/>
    <cellStyle name="Sor 1" xfId="43"/>
    <cellStyle name="Sor 2" xfId="44"/>
    <cellStyle name="Sor 3" xfId="45"/>
    <cellStyle name="Sor 3 2" xfId="46"/>
    <cellStyle name="Sor 4" xfId="47"/>
    <cellStyle name="Számítás" xfId="4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nikoe\Desktop\b&#233;rek%202009.%20okt&#243;ber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ktgv%202010-2011\rh%202010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aha határozat"/>
      <sheetName val="változó adatok"/>
      <sheetName val="stabil adatok"/>
      <sheetName val="alkalmazás"/>
      <sheetName val="létszám"/>
      <sheetName val="béralaphoz"/>
      <sheetName val="tanári emelés"/>
      <sheetName val="számítás főállású"/>
      <sheetName val="pótlékok és táblák"/>
      <sheetName val="főállás EMTE"/>
      <sheetName val="állami fizetések 2007. október"/>
      <sheetName val="állami fizetések 2009. január"/>
      <sheetName val="RH márciusi"/>
      <sheetName val="admin emelés"/>
      <sheetName val="adminisztráció"/>
      <sheetName val="társult órabéres"/>
      <sheetName val="óraadó"/>
      <sheetName val="bankszámla adat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B23">
            <v>2</v>
          </cell>
          <cell r="C23">
            <v>0.1</v>
          </cell>
        </row>
        <row r="24">
          <cell r="B24">
            <v>3</v>
          </cell>
          <cell r="C24">
            <v>0.09</v>
          </cell>
        </row>
        <row r="25">
          <cell r="B25">
            <v>4</v>
          </cell>
          <cell r="C25">
            <v>0.08</v>
          </cell>
        </row>
        <row r="26">
          <cell r="B26">
            <v>5</v>
          </cell>
          <cell r="C26">
            <v>0.06</v>
          </cell>
        </row>
        <row r="27">
          <cell r="B27">
            <v>6</v>
          </cell>
          <cell r="C27">
            <v>0.05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ok"/>
      <sheetName val="Összesítő"/>
      <sheetName val="Főállású oktatók"/>
      <sheetName val="Társult órabéresek"/>
      <sheetName val="Óraadók"/>
      <sheetName val="Vendégelőadók HU"/>
      <sheetName val="Adminisztráció"/>
      <sheetName val="Utazási költségek"/>
      <sheetName val="Dologi kiadások"/>
      <sheetName val="kutatás"/>
      <sheetName val="pr"/>
      <sheetName val="PR 2010-2011"/>
      <sheetName val="Felhalmozási kiadások"/>
      <sheetName val="kutatási projektek"/>
      <sheetName val="szolgáltatások"/>
      <sheetName val="Sheet1"/>
      <sheetName val="Sheet2"/>
    </sheetNames>
    <sheetDataSet>
      <sheetData sheetId="0">
        <row r="6">
          <cell r="C6">
            <v>8.7200000000000006</v>
          </cell>
        </row>
        <row r="13">
          <cell r="E13" t="str">
            <v>rektor</v>
          </cell>
        </row>
        <row r="14">
          <cell r="E14" t="str">
            <v>rektorhelyettes</v>
          </cell>
        </row>
        <row r="15">
          <cell r="E15" t="str">
            <v>tudományos igazgató</v>
          </cell>
        </row>
        <row r="16">
          <cell r="E16" t="str">
            <v>adminisztratív igazgató</v>
          </cell>
        </row>
        <row r="17">
          <cell r="E17" t="str">
            <v>egyetemi kancellár</v>
          </cell>
        </row>
        <row r="18">
          <cell r="E18" t="str">
            <v>dékán</v>
          </cell>
        </row>
        <row r="19">
          <cell r="E19" t="str">
            <v>dékánhelyettes</v>
          </cell>
        </row>
        <row r="20">
          <cell r="E20" t="str">
            <v>kari kancellár</v>
          </cell>
        </row>
        <row r="21">
          <cell r="E21" t="str">
            <v>tanszékvezető</v>
          </cell>
        </row>
        <row r="22">
          <cell r="E22" t="str">
            <v>tanszékvezető helyettes</v>
          </cell>
        </row>
        <row r="23">
          <cell r="E23" t="str">
            <v>szakirányító</v>
          </cell>
        </row>
        <row r="24">
          <cell r="E24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0"/>
  <sheetViews>
    <sheetView topLeftCell="A7" workbookViewId="0">
      <selection activeCell="Z9" sqref="Z9:AA9"/>
    </sheetView>
  </sheetViews>
  <sheetFormatPr defaultRowHeight="12.75" x14ac:dyDescent="0.2"/>
  <cols>
    <col min="1" max="1" width="53.7109375" style="181" customWidth="1"/>
    <col min="2" max="2" width="11" style="181" customWidth="1"/>
    <col min="3" max="3" width="10.140625" style="181" customWidth="1"/>
    <col min="4" max="4" width="12.140625" style="183" customWidth="1"/>
    <col min="5" max="5" width="26.85546875" style="181" customWidth="1"/>
    <col min="6" max="6" width="9" style="181" bestFit="1" customWidth="1"/>
    <col min="7" max="7" width="11.42578125" style="181" customWidth="1"/>
    <col min="8" max="8" width="11.140625" style="181" bestFit="1" customWidth="1"/>
    <col min="9" max="9" width="17.42578125" style="181" bestFit="1" customWidth="1"/>
    <col min="10" max="13" width="12.140625" style="181" customWidth="1"/>
    <col min="14" max="14" width="9.140625" style="181"/>
    <col min="15" max="15" width="24.42578125" style="181" bestFit="1" customWidth="1"/>
    <col min="16" max="16" width="7.5703125" style="181" bestFit="1" customWidth="1"/>
    <col min="17" max="17" width="8" style="181" bestFit="1" customWidth="1"/>
    <col min="18" max="18" width="7.5703125" style="181" bestFit="1" customWidth="1"/>
    <col min="19" max="19" width="11.7109375" style="181" bestFit="1" customWidth="1"/>
    <col min="20" max="20" width="7.5703125" style="181" bestFit="1" customWidth="1"/>
    <col min="21" max="21" width="11.7109375" style="181" bestFit="1" customWidth="1"/>
    <col min="22" max="22" width="7.5703125" style="181" bestFit="1" customWidth="1"/>
    <col min="23" max="23" width="11.7109375" style="181" bestFit="1" customWidth="1"/>
    <col min="24" max="24" width="7.5703125" style="181" bestFit="1" customWidth="1"/>
    <col min="25" max="25" width="11.7109375" style="181" bestFit="1" customWidth="1"/>
    <col min="26" max="26" width="7.5703125" style="181" bestFit="1" customWidth="1"/>
    <col min="27" max="27" width="11.7109375" style="181" bestFit="1" customWidth="1"/>
    <col min="28" max="28" width="10" style="181" bestFit="1" customWidth="1"/>
    <col min="29" max="16384" width="9.140625" style="181"/>
  </cols>
  <sheetData>
    <row r="1" spans="1:28" ht="12.75" customHeight="1" x14ac:dyDescent="0.2">
      <c r="B1" s="210"/>
      <c r="C1" s="210"/>
      <c r="D1" s="185"/>
      <c r="J1" s="298" t="s">
        <v>343</v>
      </c>
      <c r="K1" s="288" t="s">
        <v>374</v>
      </c>
      <c r="L1" s="288" t="s">
        <v>344</v>
      </c>
      <c r="M1" s="288" t="s">
        <v>374</v>
      </c>
    </row>
    <row r="2" spans="1:28" ht="12.75" customHeight="1" x14ac:dyDescent="0.2">
      <c r="A2" s="212" t="s">
        <v>192</v>
      </c>
      <c r="B2" s="200" t="s">
        <v>200</v>
      </c>
      <c r="C2" s="200" t="s">
        <v>201</v>
      </c>
      <c r="D2" s="187"/>
      <c r="E2" s="188" t="s">
        <v>197</v>
      </c>
      <c r="F2" s="189">
        <v>12</v>
      </c>
      <c r="H2" s="190"/>
      <c r="I2" s="190"/>
      <c r="J2" s="299"/>
      <c r="K2" s="289"/>
      <c r="L2" s="289"/>
      <c r="M2" s="289"/>
      <c r="O2" s="174"/>
      <c r="P2" s="296" t="s">
        <v>165</v>
      </c>
      <c r="Q2" s="297"/>
      <c r="R2" s="285" t="s">
        <v>363</v>
      </c>
      <c r="S2" s="286"/>
      <c r="T2" s="285" t="s">
        <v>364</v>
      </c>
      <c r="U2" s="286"/>
      <c r="V2" s="285" t="s">
        <v>365</v>
      </c>
      <c r="W2" s="286"/>
      <c r="X2" s="285" t="s">
        <v>366</v>
      </c>
      <c r="Y2" s="286"/>
      <c r="Z2" s="285" t="s">
        <v>398</v>
      </c>
      <c r="AA2" s="286"/>
    </row>
    <row r="3" spans="1:28" ht="12.75" customHeight="1" x14ac:dyDescent="0.2">
      <c r="A3" s="196" t="s">
        <v>81</v>
      </c>
      <c r="B3" s="201">
        <v>50</v>
      </c>
      <c r="C3" s="201">
        <v>40</v>
      </c>
      <c r="D3" s="187"/>
      <c r="E3" s="188" t="s">
        <v>195</v>
      </c>
      <c r="F3" s="191">
        <v>9.57</v>
      </c>
      <c r="H3" s="190" t="s">
        <v>180</v>
      </c>
      <c r="I3" s="190" t="s">
        <v>345</v>
      </c>
      <c r="J3" s="192">
        <v>35</v>
      </c>
      <c r="K3" s="192">
        <f>J3</f>
        <v>35</v>
      </c>
      <c r="L3" s="192">
        <v>30</v>
      </c>
      <c r="M3" s="192">
        <f>L3</f>
        <v>30</v>
      </c>
      <c r="O3" s="182"/>
      <c r="P3" s="173" t="s">
        <v>367</v>
      </c>
      <c r="Q3" s="173" t="s">
        <v>368</v>
      </c>
      <c r="R3" s="173" t="s">
        <v>367</v>
      </c>
      <c r="S3" s="173" t="s">
        <v>368</v>
      </c>
      <c r="T3" s="173" t="s">
        <v>367</v>
      </c>
      <c r="U3" s="173" t="s">
        <v>368</v>
      </c>
      <c r="V3" s="173" t="s">
        <v>367</v>
      </c>
      <c r="W3" s="173" t="s">
        <v>368</v>
      </c>
      <c r="X3" s="173" t="s">
        <v>367</v>
      </c>
      <c r="Y3" s="173" t="s">
        <v>368</v>
      </c>
      <c r="Z3" s="173" t="s">
        <v>367</v>
      </c>
      <c r="AA3" s="173" t="s">
        <v>368</v>
      </c>
    </row>
    <row r="4" spans="1:28" x14ac:dyDescent="0.2">
      <c r="A4" s="196" t="s">
        <v>188</v>
      </c>
      <c r="B4" s="201">
        <v>50</v>
      </c>
      <c r="C4" s="201">
        <v>40</v>
      </c>
      <c r="D4" s="194"/>
      <c r="E4" s="188" t="s">
        <v>194</v>
      </c>
      <c r="F4" s="196">
        <v>20</v>
      </c>
      <c r="H4" s="190" t="s">
        <v>183</v>
      </c>
      <c r="I4" s="190" t="s">
        <v>346</v>
      </c>
      <c r="J4" s="192">
        <v>35</v>
      </c>
      <c r="K4" s="192">
        <f>J4</f>
        <v>35</v>
      </c>
      <c r="L4" s="192">
        <v>30</v>
      </c>
      <c r="M4" s="192">
        <f>L4</f>
        <v>30</v>
      </c>
      <c r="O4" s="174" t="s">
        <v>97</v>
      </c>
      <c r="P4" s="175">
        <v>1</v>
      </c>
      <c r="Q4" s="176">
        <v>3000</v>
      </c>
      <c r="R4" s="175"/>
      <c r="S4" s="175"/>
      <c r="T4" s="175"/>
      <c r="U4" s="175"/>
      <c r="V4" s="175"/>
      <c r="W4" s="175"/>
      <c r="X4" s="175"/>
      <c r="Y4" s="175"/>
      <c r="Z4" s="175"/>
      <c r="AA4" s="175"/>
    </row>
    <row r="5" spans="1:28" x14ac:dyDescent="0.2">
      <c r="A5" s="196" t="s">
        <v>186</v>
      </c>
      <c r="B5" s="201">
        <v>45</v>
      </c>
      <c r="C5" s="201">
        <v>35</v>
      </c>
      <c r="E5" s="188" t="s">
        <v>193</v>
      </c>
      <c r="F5" s="198">
        <v>0.22800000000000001</v>
      </c>
      <c r="H5" s="190" t="s">
        <v>347</v>
      </c>
      <c r="I5" s="190" t="s">
        <v>348</v>
      </c>
      <c r="J5" s="192">
        <v>40</v>
      </c>
      <c r="K5" s="192">
        <f>J5</f>
        <v>40</v>
      </c>
      <c r="L5" s="192">
        <v>30</v>
      </c>
      <c r="M5" s="192">
        <f>L5</f>
        <v>30</v>
      </c>
      <c r="O5" s="174" t="s">
        <v>98</v>
      </c>
      <c r="P5" s="177">
        <v>1</v>
      </c>
      <c r="Q5" s="176">
        <v>1635</v>
      </c>
      <c r="R5" s="175"/>
      <c r="S5" s="175"/>
      <c r="T5" s="175"/>
      <c r="U5" s="175"/>
      <c r="V5" s="175"/>
      <c r="W5" s="175"/>
      <c r="X5" s="175"/>
      <c r="Y5" s="175"/>
      <c r="Z5" s="175"/>
      <c r="AA5" s="175"/>
    </row>
    <row r="6" spans="1:28" x14ac:dyDescent="0.2">
      <c r="A6" s="196" t="s">
        <v>185</v>
      </c>
      <c r="B6" s="201">
        <v>40</v>
      </c>
      <c r="C6" s="201">
        <v>30</v>
      </c>
      <c r="D6" s="195"/>
      <c r="E6" s="188" t="s">
        <v>203</v>
      </c>
      <c r="F6" s="198">
        <v>0.16</v>
      </c>
      <c r="H6" s="190" t="s">
        <v>349</v>
      </c>
      <c r="I6" s="190" t="s">
        <v>350</v>
      </c>
      <c r="J6" s="192">
        <v>45</v>
      </c>
      <c r="K6" s="192">
        <f>J6</f>
        <v>45</v>
      </c>
      <c r="L6" s="192">
        <v>35</v>
      </c>
      <c r="M6" s="192">
        <f>L6</f>
        <v>35</v>
      </c>
      <c r="O6" s="174" t="s">
        <v>369</v>
      </c>
      <c r="P6" s="177">
        <v>1</v>
      </c>
      <c r="Q6" s="176">
        <v>1635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</row>
    <row r="7" spans="1:28" x14ac:dyDescent="0.2">
      <c r="A7" s="196" t="s">
        <v>183</v>
      </c>
      <c r="B7" s="201">
        <v>35</v>
      </c>
      <c r="C7" s="201">
        <v>30</v>
      </c>
      <c r="D7" s="197"/>
      <c r="E7" s="174" t="s">
        <v>406</v>
      </c>
      <c r="F7" s="198">
        <v>0.1</v>
      </c>
      <c r="H7" s="190" t="s">
        <v>188</v>
      </c>
      <c r="I7" s="190" t="s">
        <v>351</v>
      </c>
      <c r="J7" s="192">
        <v>50</v>
      </c>
      <c r="K7" s="192">
        <f>$L$5</f>
        <v>30</v>
      </c>
      <c r="L7" s="192">
        <v>40</v>
      </c>
      <c r="M7" s="192">
        <f>$N$5</f>
        <v>0</v>
      </c>
      <c r="O7" s="174" t="s">
        <v>359</v>
      </c>
      <c r="P7" s="177">
        <v>1</v>
      </c>
      <c r="Q7" s="176">
        <v>1635</v>
      </c>
      <c r="R7" s="175"/>
      <c r="S7" s="175"/>
      <c r="T7" s="175"/>
      <c r="U7" s="175"/>
      <c r="V7" s="175"/>
      <c r="W7" s="175"/>
      <c r="X7" s="175"/>
      <c r="Y7" s="175"/>
      <c r="Z7" s="175"/>
      <c r="AA7" s="175"/>
    </row>
    <row r="8" spans="1:28" x14ac:dyDescent="0.2">
      <c r="A8" s="196" t="s">
        <v>180</v>
      </c>
      <c r="B8" s="201">
        <v>35</v>
      </c>
      <c r="C8" s="201">
        <v>30</v>
      </c>
      <c r="D8" s="199"/>
      <c r="E8" s="292" t="s">
        <v>199</v>
      </c>
      <c r="F8" s="292"/>
      <c r="H8" s="190" t="s">
        <v>352</v>
      </c>
      <c r="I8" s="190" t="s">
        <v>353</v>
      </c>
      <c r="J8" s="192">
        <v>50</v>
      </c>
      <c r="K8" s="192">
        <f>$L$5</f>
        <v>30</v>
      </c>
      <c r="L8" s="192">
        <v>40</v>
      </c>
      <c r="M8" s="192">
        <f>$N$5</f>
        <v>0</v>
      </c>
      <c r="O8" s="178" t="s">
        <v>179</v>
      </c>
      <c r="P8" s="177"/>
      <c r="Q8" s="175"/>
      <c r="R8" s="175">
        <v>1</v>
      </c>
      <c r="S8" s="176">
        <v>1600</v>
      </c>
      <c r="T8" s="175"/>
      <c r="U8" s="176">
        <v>1600</v>
      </c>
      <c r="V8" s="175">
        <v>1</v>
      </c>
      <c r="W8" s="176">
        <v>1600</v>
      </c>
      <c r="X8" s="175">
        <v>1</v>
      </c>
      <c r="Y8" s="176">
        <v>1600</v>
      </c>
      <c r="Z8" s="175"/>
      <c r="AA8" s="176"/>
    </row>
    <row r="9" spans="1:28" x14ac:dyDescent="0.2">
      <c r="A9" s="196">
        <v>0</v>
      </c>
      <c r="B9" s="201">
        <v>0</v>
      </c>
      <c r="C9" s="201">
        <v>0</v>
      </c>
      <c r="E9" s="213" t="s">
        <v>198</v>
      </c>
      <c r="F9" s="186">
        <v>1.4200000000000001E-2</v>
      </c>
      <c r="O9" s="178" t="s">
        <v>178</v>
      </c>
      <c r="P9" s="177"/>
      <c r="Q9" s="175"/>
      <c r="R9" s="294">
        <v>1</v>
      </c>
      <c r="S9" s="290">
        <v>1000</v>
      </c>
      <c r="T9" s="294">
        <v>1</v>
      </c>
      <c r="U9" s="290">
        <v>1000</v>
      </c>
      <c r="V9" s="294">
        <v>1</v>
      </c>
      <c r="W9" s="290">
        <v>1000</v>
      </c>
      <c r="X9" s="175">
        <v>2</v>
      </c>
      <c r="Y9" s="176">
        <v>1000</v>
      </c>
      <c r="Z9" s="250"/>
      <c r="AA9" s="251"/>
    </row>
    <row r="10" spans="1:28" x14ac:dyDescent="0.2">
      <c r="A10" s="196" t="s">
        <v>204</v>
      </c>
      <c r="B10" s="201">
        <f>INT(F10*20)</f>
        <v>90</v>
      </c>
      <c r="C10" s="203"/>
      <c r="E10" s="293" t="s">
        <v>196</v>
      </c>
      <c r="F10" s="191">
        <v>4.5</v>
      </c>
      <c r="O10" s="178" t="s">
        <v>177</v>
      </c>
      <c r="P10" s="177"/>
      <c r="Q10" s="175"/>
      <c r="R10" s="294"/>
      <c r="S10" s="291"/>
      <c r="T10" s="294"/>
      <c r="U10" s="291">
        <v>1000</v>
      </c>
      <c r="V10" s="294"/>
      <c r="W10" s="291">
        <v>1000</v>
      </c>
      <c r="X10" s="175">
        <v>1</v>
      </c>
      <c r="Y10" s="176">
        <v>1000</v>
      </c>
      <c r="Z10" s="175"/>
      <c r="AA10" s="176"/>
    </row>
    <row r="11" spans="1:28" x14ac:dyDescent="0.2">
      <c r="E11" s="293"/>
      <c r="F11" s="193">
        <f>F10/F9</f>
        <v>316.9014084507042</v>
      </c>
      <c r="O11" s="178" t="s">
        <v>175</v>
      </c>
      <c r="P11" s="177">
        <v>1</v>
      </c>
      <c r="Q11" s="175">
        <v>700</v>
      </c>
      <c r="R11" s="175">
        <v>3</v>
      </c>
      <c r="S11" s="176">
        <v>700</v>
      </c>
      <c r="T11" s="175">
        <v>3</v>
      </c>
      <c r="U11" s="176">
        <v>700</v>
      </c>
      <c r="V11" s="175">
        <v>3</v>
      </c>
      <c r="W11" s="176">
        <v>700</v>
      </c>
      <c r="X11" s="175">
        <v>7</v>
      </c>
      <c r="Y11" s="176">
        <v>700</v>
      </c>
      <c r="Z11" s="175"/>
      <c r="AA11" s="176"/>
    </row>
    <row r="12" spans="1:28" x14ac:dyDescent="0.2">
      <c r="A12" s="207" t="s">
        <v>166</v>
      </c>
      <c r="B12" s="208">
        <v>15</v>
      </c>
      <c r="O12" s="178" t="s">
        <v>360</v>
      </c>
      <c r="P12" s="179"/>
      <c r="Q12" s="175"/>
      <c r="R12" s="175">
        <v>3</v>
      </c>
      <c r="S12" s="176">
        <v>400</v>
      </c>
      <c r="T12" s="175">
        <v>4</v>
      </c>
      <c r="U12" s="176">
        <v>400</v>
      </c>
      <c r="V12" s="175">
        <v>1</v>
      </c>
      <c r="W12" s="176">
        <v>400</v>
      </c>
      <c r="X12" s="175">
        <v>3</v>
      </c>
      <c r="Y12" s="176">
        <v>400</v>
      </c>
      <c r="Z12" s="175"/>
      <c r="AA12" s="176"/>
    </row>
    <row r="13" spans="1:28" x14ac:dyDescent="0.2">
      <c r="D13" s="211"/>
      <c r="O13" s="178" t="s">
        <v>172</v>
      </c>
      <c r="P13" s="177">
        <v>3</v>
      </c>
      <c r="Q13" s="175">
        <v>260</v>
      </c>
      <c r="R13" s="175">
        <v>5</v>
      </c>
      <c r="S13" s="176">
        <v>260</v>
      </c>
      <c r="T13" s="175">
        <v>7</v>
      </c>
      <c r="U13" s="176">
        <v>260</v>
      </c>
      <c r="V13" s="175">
        <v>4</v>
      </c>
      <c r="W13" s="176">
        <v>260</v>
      </c>
      <c r="X13" s="175">
        <v>11</v>
      </c>
      <c r="Y13" s="176">
        <v>260</v>
      </c>
      <c r="Z13" s="175">
        <v>1</v>
      </c>
      <c r="AA13" s="176">
        <v>260</v>
      </c>
    </row>
    <row r="14" spans="1:28" x14ac:dyDescent="0.2">
      <c r="A14" s="203" t="s">
        <v>191</v>
      </c>
      <c r="D14" s="211"/>
      <c r="F14" s="196" t="s">
        <v>169</v>
      </c>
      <c r="O14" s="180" t="s">
        <v>370</v>
      </c>
      <c r="P14" s="287">
        <f>SUMPRODUCT(P4:P13,Q4:Q13)</f>
        <v>9385</v>
      </c>
      <c r="Q14" s="287"/>
      <c r="R14" s="287">
        <f>SUMPRODUCT(R4:R13,S4:S13)</f>
        <v>7200</v>
      </c>
      <c r="S14" s="287"/>
      <c r="T14" s="287">
        <f>SUMPRODUCT(T4:T13,U4:U13)</f>
        <v>6520</v>
      </c>
      <c r="U14" s="287"/>
      <c r="V14" s="287">
        <f>SUMPRODUCT(V4:V13,W4:W13)</f>
        <v>6140</v>
      </c>
      <c r="W14" s="287"/>
      <c r="X14" s="287">
        <f>SUMPRODUCT(X4:X13,Y4:Y13)</f>
        <v>13560</v>
      </c>
      <c r="Y14" s="287"/>
      <c r="Z14" s="287">
        <f>SUMPRODUCT(Z4:Z13,AA4:AA13)</f>
        <v>260</v>
      </c>
      <c r="AA14" s="287"/>
      <c r="AB14" s="244">
        <f>SUM(P14:AA14)*13</f>
        <v>559845</v>
      </c>
    </row>
    <row r="15" spans="1:28" x14ac:dyDescent="0.2">
      <c r="A15" s="196" t="s">
        <v>97</v>
      </c>
      <c r="B15" s="201">
        <v>3000</v>
      </c>
      <c r="D15" s="211"/>
      <c r="F15" s="196" t="s">
        <v>167</v>
      </c>
    </row>
    <row r="16" spans="1:28" x14ac:dyDescent="0.2">
      <c r="A16" s="196" t="s">
        <v>98</v>
      </c>
      <c r="B16" s="201">
        <v>1635</v>
      </c>
      <c r="D16" s="211"/>
    </row>
    <row r="17" spans="1:7" x14ac:dyDescent="0.2">
      <c r="A17" s="196" t="s">
        <v>99</v>
      </c>
      <c r="B17" s="201">
        <v>1635</v>
      </c>
      <c r="D17" s="211"/>
    </row>
    <row r="18" spans="1:7" x14ac:dyDescent="0.2">
      <c r="A18" s="196" t="s">
        <v>359</v>
      </c>
      <c r="B18" s="201">
        <v>1635</v>
      </c>
      <c r="D18" s="211"/>
    </row>
    <row r="19" spans="1:7" x14ac:dyDescent="0.2">
      <c r="A19" s="196" t="s">
        <v>182</v>
      </c>
      <c r="B19" s="201">
        <v>1600</v>
      </c>
      <c r="D19" s="197"/>
    </row>
    <row r="20" spans="1:7" x14ac:dyDescent="0.2">
      <c r="A20" s="196" t="s">
        <v>179</v>
      </c>
      <c r="B20" s="201">
        <v>1600</v>
      </c>
      <c r="D20" s="203"/>
    </row>
    <row r="21" spans="1:7" x14ac:dyDescent="0.2">
      <c r="A21" s="196" t="s">
        <v>178</v>
      </c>
      <c r="B21" s="201">
        <v>1000</v>
      </c>
      <c r="C21" s="203"/>
      <c r="D21" s="203"/>
    </row>
    <row r="22" spans="1:7" x14ac:dyDescent="0.2">
      <c r="A22" s="196" t="s">
        <v>177</v>
      </c>
      <c r="B22" s="201">
        <v>1000</v>
      </c>
      <c r="C22" s="203"/>
      <c r="D22" s="203"/>
    </row>
    <row r="23" spans="1:7" x14ac:dyDescent="0.2">
      <c r="A23" s="196" t="s">
        <v>175</v>
      </c>
      <c r="B23" s="201">
        <v>700</v>
      </c>
      <c r="C23" s="204"/>
      <c r="D23" s="204"/>
    </row>
    <row r="24" spans="1:7" x14ac:dyDescent="0.2">
      <c r="A24" s="196" t="s">
        <v>360</v>
      </c>
      <c r="B24" s="201">
        <v>400</v>
      </c>
      <c r="C24" s="205"/>
      <c r="D24" s="205"/>
    </row>
    <row r="25" spans="1:7" x14ac:dyDescent="0.2">
      <c r="A25" s="196" t="s">
        <v>172</v>
      </c>
      <c r="B25" s="201">
        <v>260</v>
      </c>
      <c r="C25" s="205"/>
      <c r="D25" s="205"/>
      <c r="E25" s="197"/>
      <c r="F25" s="197"/>
    </row>
    <row r="26" spans="1:7" x14ac:dyDescent="0.2">
      <c r="A26" s="196">
        <v>0</v>
      </c>
      <c r="B26" s="201">
        <v>0</v>
      </c>
      <c r="C26" s="206"/>
      <c r="D26" s="206"/>
    </row>
    <row r="27" spans="1:7" x14ac:dyDescent="0.2">
      <c r="C27" s="203"/>
      <c r="D27" s="203"/>
    </row>
    <row r="28" spans="1:7" x14ac:dyDescent="0.2">
      <c r="B28" s="295" t="s">
        <v>390</v>
      </c>
      <c r="C28" s="295"/>
      <c r="D28" s="295"/>
      <c r="E28" s="245"/>
    </row>
    <row r="29" spans="1:7" ht="38.25" x14ac:dyDescent="0.2">
      <c r="A29" s="181" t="s">
        <v>162</v>
      </c>
      <c r="B29" s="222" t="s">
        <v>389</v>
      </c>
      <c r="C29" s="222" t="s">
        <v>387</v>
      </c>
      <c r="D29" s="222" t="s">
        <v>388</v>
      </c>
      <c r="E29" s="197"/>
    </row>
    <row r="30" spans="1:7" x14ac:dyDescent="0.2">
      <c r="A30" s="209" t="s">
        <v>394</v>
      </c>
      <c r="B30" s="202">
        <f>(T14+R14)*(tervezési_időszak+1)</f>
        <v>178360</v>
      </c>
      <c r="C30" s="202"/>
      <c r="D30" s="202"/>
      <c r="E30" s="211"/>
      <c r="F30" s="211"/>
      <c r="G30" s="211"/>
    </row>
    <row r="31" spans="1:7" x14ac:dyDescent="0.2">
      <c r="A31" s="209" t="s">
        <v>395</v>
      </c>
      <c r="B31" s="202">
        <f>V14*(tervezési_időszak+1)</f>
        <v>79820</v>
      </c>
      <c r="C31" s="202"/>
      <c r="D31" s="202"/>
      <c r="E31" s="197"/>
    </row>
    <row r="32" spans="1:7" x14ac:dyDescent="0.2">
      <c r="A32" s="209" t="s">
        <v>396</v>
      </c>
      <c r="B32" s="202">
        <f>X14*(1+tervezési_időszak)</f>
        <v>176280</v>
      </c>
      <c r="C32" s="202"/>
      <c r="D32" s="202"/>
      <c r="E32" s="197"/>
    </row>
    <row r="33" spans="1:6" x14ac:dyDescent="0.2">
      <c r="A33" s="209" t="s">
        <v>397</v>
      </c>
      <c r="B33" s="202">
        <f>Z14*(1+tervezési_időszak)</f>
        <v>3380</v>
      </c>
      <c r="C33" s="174"/>
      <c r="D33" s="202"/>
      <c r="E33" s="197"/>
    </row>
    <row r="34" spans="1:6" x14ac:dyDescent="0.2">
      <c r="A34" s="209" t="s">
        <v>2</v>
      </c>
      <c r="B34" s="202">
        <f>P14*(1+tervezési_időszak)</f>
        <v>122005</v>
      </c>
      <c r="C34" s="202"/>
      <c r="D34" s="202"/>
      <c r="E34" s="197"/>
    </row>
    <row r="35" spans="1:6" x14ac:dyDescent="0.2">
      <c r="A35" s="209" t="s">
        <v>158</v>
      </c>
      <c r="F35" s="197"/>
    </row>
    <row r="36" spans="1:6" x14ac:dyDescent="0.2">
      <c r="A36" s="209" t="s">
        <v>157</v>
      </c>
      <c r="F36" s="197"/>
    </row>
    <row r="37" spans="1:6" x14ac:dyDescent="0.2">
      <c r="A37" s="209" t="s">
        <v>156</v>
      </c>
      <c r="F37" s="197"/>
    </row>
    <row r="38" spans="1:6" x14ac:dyDescent="0.2">
      <c r="A38" s="209" t="s">
        <v>155</v>
      </c>
      <c r="F38" s="197"/>
    </row>
    <row r="39" spans="1:6" x14ac:dyDescent="0.2">
      <c r="A39" s="209" t="s">
        <v>154</v>
      </c>
      <c r="F39" s="197"/>
    </row>
    <row r="40" spans="1:6" x14ac:dyDescent="0.2">
      <c r="A40" s="209" t="s">
        <v>153</v>
      </c>
      <c r="D40" s="184"/>
    </row>
    <row r="41" spans="1:6" x14ac:dyDescent="0.2">
      <c r="A41" s="209" t="s">
        <v>152</v>
      </c>
    </row>
    <row r="43" spans="1:6" x14ac:dyDescent="0.2">
      <c r="A43" s="203" t="s">
        <v>190</v>
      </c>
    </row>
    <row r="44" spans="1:6" x14ac:dyDescent="0.2">
      <c r="A44" s="196" t="s">
        <v>189</v>
      </c>
    </row>
    <row r="45" spans="1:6" x14ac:dyDescent="0.2">
      <c r="A45" s="196" t="s">
        <v>187</v>
      </c>
    </row>
    <row r="46" spans="1:6" x14ac:dyDescent="0.2">
      <c r="A46" s="196" t="s">
        <v>173</v>
      </c>
    </row>
    <row r="47" spans="1:6" x14ac:dyDescent="0.2">
      <c r="A47" s="196" t="s">
        <v>184</v>
      </c>
    </row>
    <row r="48" spans="1:6" x14ac:dyDescent="0.2">
      <c r="A48" s="196" t="s">
        <v>181</v>
      </c>
    </row>
    <row r="49" spans="1:1" x14ac:dyDescent="0.2">
      <c r="A49" s="196" t="s">
        <v>340</v>
      </c>
    </row>
    <row r="50" spans="1:1" x14ac:dyDescent="0.2">
      <c r="A50" s="196" t="s">
        <v>176</v>
      </c>
    </row>
    <row r="51" spans="1:1" x14ac:dyDescent="0.2">
      <c r="A51" s="196" t="s">
        <v>174</v>
      </c>
    </row>
    <row r="52" spans="1:1" x14ac:dyDescent="0.2">
      <c r="A52" s="196" t="s">
        <v>335</v>
      </c>
    </row>
    <row r="53" spans="1:1" x14ac:dyDescent="0.2">
      <c r="A53" s="196" t="s">
        <v>371</v>
      </c>
    </row>
    <row r="54" spans="1:1" x14ac:dyDescent="0.2">
      <c r="A54" s="196" t="s">
        <v>171</v>
      </c>
    </row>
    <row r="55" spans="1:1" x14ac:dyDescent="0.2">
      <c r="A55" s="196" t="s">
        <v>170</v>
      </c>
    </row>
    <row r="56" spans="1:1" x14ac:dyDescent="0.2">
      <c r="A56" s="196" t="s">
        <v>168</v>
      </c>
    </row>
    <row r="57" spans="1:1" ht="12.75" customHeight="1" x14ac:dyDescent="0.2">
      <c r="A57" s="196" t="s">
        <v>372</v>
      </c>
    </row>
    <row r="58" spans="1:1" x14ac:dyDescent="0.2">
      <c r="A58" s="196" t="s">
        <v>334</v>
      </c>
    </row>
    <row r="59" spans="1:1" x14ac:dyDescent="0.2">
      <c r="A59" s="196" t="s">
        <v>373</v>
      </c>
    </row>
    <row r="60" spans="1:1" x14ac:dyDescent="0.2">
      <c r="A60" s="196" t="s">
        <v>165</v>
      </c>
    </row>
    <row r="61" spans="1:1" x14ac:dyDescent="0.2">
      <c r="A61" s="196" t="s">
        <v>164</v>
      </c>
    </row>
    <row r="62" spans="1:1" x14ac:dyDescent="0.2">
      <c r="A62" s="196" t="s">
        <v>163</v>
      </c>
    </row>
    <row r="63" spans="1:1" x14ac:dyDescent="0.2">
      <c r="A63" s="196" t="s">
        <v>161</v>
      </c>
    </row>
    <row r="64" spans="1:1" x14ac:dyDescent="0.2">
      <c r="A64" s="196" t="s">
        <v>160</v>
      </c>
    </row>
    <row r="65" spans="1:1" x14ac:dyDescent="0.2">
      <c r="A65" s="196" t="s">
        <v>159</v>
      </c>
    </row>
    <row r="66" spans="1:1" x14ac:dyDescent="0.2">
      <c r="A66" s="196"/>
    </row>
    <row r="67" spans="1:1" x14ac:dyDescent="0.2">
      <c r="A67" s="196"/>
    </row>
    <row r="68" spans="1:1" x14ac:dyDescent="0.2">
      <c r="A68" s="196"/>
    </row>
    <row r="69" spans="1:1" x14ac:dyDescent="0.2">
      <c r="A69" s="196"/>
    </row>
    <row r="70" spans="1:1" x14ac:dyDescent="0.2">
      <c r="A70" s="196"/>
    </row>
  </sheetData>
  <sheetProtection selectLockedCells="1"/>
  <dataConsolidate/>
  <mergeCells count="25">
    <mergeCell ref="B28:D28"/>
    <mergeCell ref="X14:Y14"/>
    <mergeCell ref="P2:Q2"/>
    <mergeCell ref="R2:S2"/>
    <mergeCell ref="T2:U2"/>
    <mergeCell ref="V2:W2"/>
    <mergeCell ref="X2:Y2"/>
    <mergeCell ref="P14:Q14"/>
    <mergeCell ref="R14:S14"/>
    <mergeCell ref="T14:U14"/>
    <mergeCell ref="V14:W14"/>
    <mergeCell ref="U9:U10"/>
    <mergeCell ref="V9:V10"/>
    <mergeCell ref="J1:J2"/>
    <mergeCell ref="K1:K2"/>
    <mergeCell ref="L1:L2"/>
    <mergeCell ref="Z2:AA2"/>
    <mergeCell ref="Z14:AA14"/>
    <mergeCell ref="M1:M2"/>
    <mergeCell ref="W9:W10"/>
    <mergeCell ref="E8:F8"/>
    <mergeCell ref="E10:E11"/>
    <mergeCell ref="R9:R10"/>
    <mergeCell ref="S9:S10"/>
    <mergeCell ref="T9:T10"/>
  </mergeCells>
  <phoneticPr fontId="34" type="noConversion"/>
  <dataValidations disablePrompts="1" count="1">
    <dataValidation showInputMessage="1" showErrorMessage="1" errorTitle="vigyázat!" error="vagy igen vagy nem" sqref="D20:D27 D29"/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zoomScaleNormal="100" workbookViewId="0">
      <pane xSplit="1" ySplit="2" topLeftCell="B33" activePane="bottomRight" state="frozen"/>
      <selection activeCell="D37" sqref="D37"/>
      <selection pane="topRight" activeCell="D37" sqref="D37"/>
      <selection pane="bottomLeft" activeCell="D37" sqref="D37"/>
      <selection pane="bottomRight" activeCell="D37" sqref="D37"/>
    </sheetView>
  </sheetViews>
  <sheetFormatPr defaultColWidth="9.140625" defaultRowHeight="12.75" x14ac:dyDescent="0.2"/>
  <cols>
    <col min="1" max="1" width="68.7109375" style="15" customWidth="1"/>
    <col min="2" max="2" width="14.5703125" style="46" customWidth="1"/>
    <col min="3" max="3" width="59.28515625" style="15" customWidth="1"/>
    <col min="4" max="4" width="17.28515625" style="55" customWidth="1"/>
    <col min="5" max="5" width="17.7109375" style="15" customWidth="1"/>
    <col min="6" max="6" width="27.5703125" style="15" customWidth="1"/>
    <col min="7" max="16384" width="9.140625" style="15"/>
  </cols>
  <sheetData>
    <row r="1" spans="1:6" x14ac:dyDescent="0.2">
      <c r="A1" s="167" t="str">
        <f>Összesítő!B2</f>
        <v>EMTE - Marosvásárhelyi kar</v>
      </c>
      <c r="B1" s="108"/>
    </row>
    <row r="2" spans="1:6" ht="15.75" x14ac:dyDescent="0.2">
      <c r="A2" s="123" t="s">
        <v>3</v>
      </c>
      <c r="B2" s="1">
        <f>SUM(B3,B13,B14,B45,B46,B52,B53,B54,B57,B58)</f>
        <v>0</v>
      </c>
      <c r="C2" s="43" t="s">
        <v>47</v>
      </c>
      <c r="D2" s="83"/>
    </row>
    <row r="3" spans="1:6" x14ac:dyDescent="0.2">
      <c r="A3" s="119" t="s">
        <v>134</v>
      </c>
      <c r="B3" s="134">
        <f>SUM(B4,B9:B12)</f>
        <v>0</v>
      </c>
      <c r="C3" s="45"/>
    </row>
    <row r="4" spans="1:6" x14ac:dyDescent="0.2">
      <c r="A4" s="121" t="s">
        <v>9</v>
      </c>
      <c r="B4" s="135">
        <f>SUM(B5:B8)</f>
        <v>0</v>
      </c>
      <c r="C4" s="45"/>
      <c r="F4" s="241"/>
    </row>
    <row r="5" spans="1:6" ht="13.5" customHeight="1" x14ac:dyDescent="0.2">
      <c r="A5" s="131" t="s">
        <v>32</v>
      </c>
      <c r="B5" s="138"/>
      <c r="C5" s="45"/>
    </row>
    <row r="6" spans="1:6" x14ac:dyDescent="0.2">
      <c r="A6" s="131" t="s">
        <v>69</v>
      </c>
      <c r="B6" s="138"/>
      <c r="C6" s="45"/>
    </row>
    <row r="7" spans="1:6" x14ac:dyDescent="0.2">
      <c r="A7" s="131" t="s">
        <v>33</v>
      </c>
      <c r="B7" s="138"/>
      <c r="C7" s="45"/>
    </row>
    <row r="8" spans="1:6" x14ac:dyDescent="0.2">
      <c r="A8" s="131" t="s">
        <v>70</v>
      </c>
      <c r="B8" s="138"/>
      <c r="C8" s="45"/>
    </row>
    <row r="9" spans="1:6" x14ac:dyDescent="0.2">
      <c r="A9" s="132" t="s">
        <v>10</v>
      </c>
      <c r="B9" s="138"/>
      <c r="C9" s="45"/>
    </row>
    <row r="10" spans="1:6" x14ac:dyDescent="0.2">
      <c r="A10" s="132" t="s">
        <v>11</v>
      </c>
      <c r="B10" s="138"/>
      <c r="C10" s="45"/>
    </row>
    <row r="11" spans="1:6" x14ac:dyDescent="0.2">
      <c r="A11" s="132" t="s">
        <v>29</v>
      </c>
      <c r="B11" s="138"/>
      <c r="C11" s="45"/>
    </row>
    <row r="12" spans="1:6" x14ac:dyDescent="0.2">
      <c r="A12" s="132" t="s">
        <v>12</v>
      </c>
      <c r="B12" s="138"/>
      <c r="C12" s="45"/>
    </row>
    <row r="13" spans="1:6" x14ac:dyDescent="0.2">
      <c r="A13" s="133" t="s">
        <v>4</v>
      </c>
      <c r="B13" s="139"/>
      <c r="C13" s="45"/>
    </row>
    <row r="14" spans="1:6" x14ac:dyDescent="0.2">
      <c r="A14" s="119" t="s">
        <v>5</v>
      </c>
      <c r="B14" s="134">
        <f>SUM(B15:B17,B22,B26,B30,B42,B43,B44)</f>
        <v>0</v>
      </c>
      <c r="C14" s="45"/>
    </row>
    <row r="15" spans="1:6" x14ac:dyDescent="0.2">
      <c r="A15" s="132" t="s">
        <v>13</v>
      </c>
      <c r="B15" s="138"/>
      <c r="C15" s="45"/>
    </row>
    <row r="16" spans="1:6" x14ac:dyDescent="0.2">
      <c r="A16" s="132" t="s">
        <v>51</v>
      </c>
      <c r="B16" s="138"/>
      <c r="C16" s="45"/>
    </row>
    <row r="17" spans="1:3" x14ac:dyDescent="0.2">
      <c r="A17" s="121" t="s">
        <v>14</v>
      </c>
      <c r="B17" s="136">
        <f>SUM(B18:B21)</f>
        <v>0</v>
      </c>
      <c r="C17" s="45"/>
    </row>
    <row r="18" spans="1:3" x14ac:dyDescent="0.2">
      <c r="A18" s="131" t="s">
        <v>16</v>
      </c>
      <c r="B18" s="138"/>
      <c r="C18" s="45"/>
    </row>
    <row r="19" spans="1:3" x14ac:dyDescent="0.2">
      <c r="A19" s="131" t="s">
        <v>17</v>
      </c>
      <c r="B19" s="138"/>
      <c r="C19" s="45"/>
    </row>
    <row r="20" spans="1:3" x14ac:dyDescent="0.2">
      <c r="A20" s="131" t="s">
        <v>18</v>
      </c>
      <c r="B20" s="138"/>
      <c r="C20" s="45"/>
    </row>
    <row r="21" spans="1:3" x14ac:dyDescent="0.2">
      <c r="A21" s="131" t="s">
        <v>19</v>
      </c>
      <c r="B21" s="138"/>
      <c r="C21" s="45"/>
    </row>
    <row r="22" spans="1:3" x14ac:dyDescent="0.2">
      <c r="A22" s="121" t="s">
        <v>31</v>
      </c>
      <c r="B22" s="136">
        <f>SUM(B23:B25)</f>
        <v>0</v>
      </c>
      <c r="C22" s="45"/>
    </row>
    <row r="23" spans="1:3" x14ac:dyDescent="0.2">
      <c r="A23" s="131" t="s">
        <v>71</v>
      </c>
      <c r="B23" s="140"/>
      <c r="C23" s="45"/>
    </row>
    <row r="24" spans="1:3" x14ac:dyDescent="0.2">
      <c r="A24" s="131" t="s">
        <v>30</v>
      </c>
      <c r="B24" s="138"/>
      <c r="C24" s="45"/>
    </row>
    <row r="25" spans="1:3" x14ac:dyDescent="0.2">
      <c r="A25" s="131" t="s">
        <v>19</v>
      </c>
      <c r="B25" s="138"/>
      <c r="C25" s="45"/>
    </row>
    <row r="26" spans="1:3" x14ac:dyDescent="0.2">
      <c r="A26" s="121" t="s">
        <v>15</v>
      </c>
      <c r="B26" s="136">
        <f>SUM(B27:B29)</f>
        <v>0</v>
      </c>
      <c r="C26" s="45"/>
    </row>
    <row r="27" spans="1:3" x14ac:dyDescent="0.2">
      <c r="A27" s="131" t="s">
        <v>20</v>
      </c>
      <c r="B27" s="140"/>
      <c r="C27" s="45"/>
    </row>
    <row r="28" spans="1:3" x14ac:dyDescent="0.2">
      <c r="A28" s="131" t="s">
        <v>21</v>
      </c>
      <c r="B28" s="138"/>
      <c r="C28" s="45"/>
    </row>
    <row r="29" spans="1:3" x14ac:dyDescent="0.2">
      <c r="A29" s="131" t="s">
        <v>22</v>
      </c>
      <c r="B29" s="138"/>
      <c r="C29" s="45"/>
    </row>
    <row r="30" spans="1:3" x14ac:dyDescent="0.2">
      <c r="A30" s="121" t="s">
        <v>82</v>
      </c>
      <c r="B30" s="136">
        <f>SUM(B31:B41)</f>
        <v>0</v>
      </c>
      <c r="C30" s="45"/>
    </row>
    <row r="31" spans="1:3" x14ac:dyDescent="0.2">
      <c r="A31" s="131" t="s">
        <v>23</v>
      </c>
      <c r="B31" s="140"/>
      <c r="C31" s="45"/>
    </row>
    <row r="32" spans="1:3" x14ac:dyDescent="0.2">
      <c r="A32" s="131" t="s">
        <v>24</v>
      </c>
      <c r="B32" s="138"/>
      <c r="C32" s="45"/>
    </row>
    <row r="33" spans="1:5" x14ac:dyDescent="0.2">
      <c r="A33" s="131" t="s">
        <v>78</v>
      </c>
      <c r="B33" s="138"/>
      <c r="C33" s="45"/>
    </row>
    <row r="34" spans="1:5" x14ac:dyDescent="0.2">
      <c r="A34" s="131" t="s">
        <v>25</v>
      </c>
      <c r="B34" s="140"/>
      <c r="C34" s="45"/>
    </row>
    <row r="35" spans="1:5" x14ac:dyDescent="0.2">
      <c r="A35" s="131" t="s">
        <v>26</v>
      </c>
      <c r="B35" s="138"/>
      <c r="C35" s="45"/>
    </row>
    <row r="36" spans="1:5" x14ac:dyDescent="0.2">
      <c r="A36" s="131" t="s">
        <v>27</v>
      </c>
      <c r="B36" s="138"/>
      <c r="C36" s="45"/>
    </row>
    <row r="37" spans="1:5" x14ac:dyDescent="0.2">
      <c r="A37" s="131" t="s">
        <v>28</v>
      </c>
      <c r="B37" s="138"/>
      <c r="C37" s="45"/>
    </row>
    <row r="38" spans="1:5" x14ac:dyDescent="0.2">
      <c r="A38" s="131" t="s">
        <v>273</v>
      </c>
      <c r="B38" s="138"/>
      <c r="C38" s="45"/>
    </row>
    <row r="39" spans="1:5" x14ac:dyDescent="0.2">
      <c r="A39" s="137" t="s">
        <v>149</v>
      </c>
      <c r="B39" s="138"/>
      <c r="C39" s="45"/>
    </row>
    <row r="40" spans="1:5" x14ac:dyDescent="0.2">
      <c r="A40" s="137" t="s">
        <v>267</v>
      </c>
      <c r="B40" s="138"/>
      <c r="C40" s="45"/>
    </row>
    <row r="41" spans="1:5" x14ac:dyDescent="0.2">
      <c r="A41" s="137" t="s">
        <v>270</v>
      </c>
      <c r="B41" s="154"/>
      <c r="C41" s="45"/>
      <c r="D41" s="160"/>
      <c r="E41" s="3"/>
    </row>
    <row r="42" spans="1:5" ht="13.5" customHeight="1" x14ac:dyDescent="0.2">
      <c r="A42" s="121" t="s">
        <v>52</v>
      </c>
      <c r="B42" s="138"/>
      <c r="C42" s="45"/>
    </row>
    <row r="43" spans="1:5" x14ac:dyDescent="0.2">
      <c r="A43" s="121" t="s">
        <v>274</v>
      </c>
      <c r="B43" s="138"/>
      <c r="C43" s="45"/>
    </row>
    <row r="44" spans="1:5" x14ac:dyDescent="0.2">
      <c r="A44" s="121" t="s">
        <v>34</v>
      </c>
      <c r="B44" s="140"/>
      <c r="C44" s="45"/>
    </row>
    <row r="45" spans="1:5" x14ac:dyDescent="0.2">
      <c r="A45" s="119" t="s">
        <v>262</v>
      </c>
      <c r="B45" s="140"/>
      <c r="C45" s="45"/>
    </row>
    <row r="46" spans="1:5" x14ac:dyDescent="0.2">
      <c r="A46" s="119" t="s">
        <v>150</v>
      </c>
      <c r="B46" s="136">
        <f>SUM(B47:B51)</f>
        <v>0</v>
      </c>
      <c r="C46" s="45"/>
    </row>
    <row r="47" spans="1:5" x14ac:dyDescent="0.2">
      <c r="A47" s="132" t="s">
        <v>144</v>
      </c>
      <c r="B47" s="138"/>
      <c r="C47" s="45"/>
    </row>
    <row r="48" spans="1:5" x14ac:dyDescent="0.2">
      <c r="A48" s="132" t="s">
        <v>145</v>
      </c>
      <c r="B48" s="138"/>
      <c r="C48" s="45"/>
    </row>
    <row r="49" spans="1:3" x14ac:dyDescent="0.2">
      <c r="A49" s="132" t="s">
        <v>271</v>
      </c>
      <c r="B49" s="139"/>
      <c r="C49" s="45"/>
    </row>
    <row r="50" spans="1:3" x14ac:dyDescent="0.2">
      <c r="A50" s="132" t="s">
        <v>261</v>
      </c>
      <c r="B50" s="139"/>
      <c r="C50" s="45"/>
    </row>
    <row r="51" spans="1:3" x14ac:dyDescent="0.2">
      <c r="A51" s="132" t="s">
        <v>146</v>
      </c>
      <c r="B51" s="139"/>
      <c r="C51" s="45"/>
    </row>
    <row r="52" spans="1:3" s="59" customFormat="1" x14ac:dyDescent="0.2">
      <c r="A52" s="119" t="s">
        <v>269</v>
      </c>
      <c r="B52" s="138"/>
      <c r="C52" s="60"/>
    </row>
    <row r="53" spans="1:3" s="59" customFormat="1" x14ac:dyDescent="0.2">
      <c r="A53" s="119" t="s">
        <v>272</v>
      </c>
      <c r="B53" s="138"/>
      <c r="C53" s="60"/>
    </row>
    <row r="54" spans="1:3" s="59" customFormat="1" x14ac:dyDescent="0.2">
      <c r="A54" s="119" t="s">
        <v>6</v>
      </c>
      <c r="B54" s="136">
        <f>SUM(B55:B56)</f>
        <v>0</v>
      </c>
      <c r="C54" s="60"/>
    </row>
    <row r="55" spans="1:3" x14ac:dyDescent="0.2">
      <c r="A55" s="132" t="s">
        <v>268</v>
      </c>
      <c r="B55" s="139"/>
      <c r="C55" s="45"/>
    </row>
    <row r="56" spans="1:3" x14ac:dyDescent="0.2">
      <c r="A56" s="132" t="s">
        <v>80</v>
      </c>
      <c r="B56" s="155"/>
      <c r="C56" s="45"/>
    </row>
    <row r="57" spans="1:3" x14ac:dyDescent="0.2">
      <c r="A57" s="133" t="s">
        <v>7</v>
      </c>
      <c r="B57" s="141"/>
      <c r="C57" s="45"/>
    </row>
    <row r="58" spans="1:3" x14ac:dyDescent="0.2">
      <c r="A58" s="133" t="s">
        <v>8</v>
      </c>
      <c r="B58" s="140"/>
      <c r="C58" s="45"/>
    </row>
  </sheetData>
  <sheetProtection selectLockedCells="1"/>
  <phoneticPr fontId="10" type="noConversion"/>
  <pageMargins left="0.74" right="0.47244094488188981" top="0.77" bottom="0.98425196850393704" header="0.51181102362204722" footer="0.51181102362204722"/>
  <pageSetup paperSize="9" scale="75" orientation="portrait" horizontalDpi="1200" verticalDpi="1200" r:id="rId1"/>
  <headerFooter alignWithMargins="0">
    <oddHeader>&amp;LDologi kiadások&amp;R&amp;D, &amp;T</oddHeader>
    <oddFooter>&amp;L&amp;F&amp;C&amp;A&amp;R&amp;P/&amp;N oldal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D37" sqref="D37"/>
    </sheetView>
  </sheetViews>
  <sheetFormatPr defaultColWidth="9.140625" defaultRowHeight="12.75" x14ac:dyDescent="0.2"/>
  <cols>
    <col min="1" max="1" width="39.85546875" style="15" customWidth="1"/>
    <col min="2" max="2" width="15.7109375" style="15" customWidth="1"/>
    <col min="3" max="3" width="59.85546875" style="15" customWidth="1"/>
    <col min="4" max="4" width="22.85546875" style="15" customWidth="1"/>
    <col min="5" max="7" width="9.140625" style="15"/>
    <col min="8" max="8" width="10.28515625" style="15" bestFit="1" customWidth="1"/>
    <col min="9" max="9" width="9.140625" style="15"/>
    <col min="10" max="10" width="11" style="15" customWidth="1"/>
    <col min="11" max="16384" width="9.140625" style="15"/>
  </cols>
  <sheetData>
    <row r="1" spans="1:8" x14ac:dyDescent="0.2">
      <c r="A1" s="168" t="str">
        <f>Összesítő!B2</f>
        <v>EMTE - Marosvásárhelyi kar</v>
      </c>
    </row>
    <row r="3" spans="1:8" x14ac:dyDescent="0.2">
      <c r="A3" s="123" t="s">
        <v>46</v>
      </c>
      <c r="B3" s="142">
        <f>SUM(B4:B7)</f>
        <v>0</v>
      </c>
      <c r="C3" s="143" t="s">
        <v>276</v>
      </c>
    </row>
    <row r="4" spans="1:8" x14ac:dyDescent="0.2">
      <c r="A4" s="119" t="s">
        <v>263</v>
      </c>
      <c r="B4" s="144"/>
      <c r="C4" s="145"/>
      <c r="D4" s="51"/>
      <c r="E4" s="16"/>
      <c r="F4" s="16"/>
      <c r="G4" s="16"/>
      <c r="H4" s="16"/>
    </row>
    <row r="5" spans="1:8" ht="12.75" customHeight="1" x14ac:dyDescent="0.2">
      <c r="A5" s="119" t="s">
        <v>264</v>
      </c>
      <c r="B5" s="146"/>
      <c r="C5" s="44"/>
    </row>
    <row r="6" spans="1:8" x14ac:dyDescent="0.2">
      <c r="A6" s="119" t="s">
        <v>265</v>
      </c>
      <c r="B6" s="139"/>
      <c r="C6" s="44"/>
    </row>
    <row r="7" spans="1:8" x14ac:dyDescent="0.2">
      <c r="A7" s="119" t="s">
        <v>87</v>
      </c>
      <c r="B7" s="139"/>
      <c r="C7" s="44"/>
    </row>
  </sheetData>
  <sheetProtection selectLockedCells="1"/>
  <phoneticPr fontId="10" type="noConversion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Header>&amp;R&amp;D, &amp;T</oddHeader>
    <oddFooter>&amp;L&amp;F
BIZALMAS&amp;C&amp;A&amp;R&amp;P/&amp;N oldal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workbookViewId="0">
      <selection activeCell="D4" sqref="D4:U4"/>
    </sheetView>
  </sheetViews>
  <sheetFormatPr defaultColWidth="9.140625" defaultRowHeight="14.25" outlineLevelRow="1" x14ac:dyDescent="0.2"/>
  <cols>
    <col min="1" max="1" width="40.140625" style="61" customWidth="1"/>
    <col min="2" max="2" width="16.42578125" style="61" customWidth="1"/>
    <col min="3" max="3" width="15" style="61" customWidth="1"/>
    <col min="4" max="21" width="11.85546875" style="4" bestFit="1" customWidth="1"/>
    <col min="22" max="24" width="11.85546875" style="87" bestFit="1" customWidth="1"/>
    <col min="25" max="16384" width="9.140625" style="61"/>
  </cols>
  <sheetData>
    <row r="1" spans="1:24" x14ac:dyDescent="0.2">
      <c r="A1" s="89" t="str">
        <f>Összesítő!B2</f>
        <v>EMTE - Marosvásárhelyi kar</v>
      </c>
      <c r="B1" s="63"/>
      <c r="C1" s="64"/>
    </row>
    <row r="2" spans="1:24" x14ac:dyDescent="0.2">
      <c r="A2" s="316" t="s">
        <v>219</v>
      </c>
      <c r="B2" s="316"/>
      <c r="C2" s="316"/>
    </row>
    <row r="3" spans="1:24" x14ac:dyDescent="0.2">
      <c r="D3" s="91" t="s">
        <v>221</v>
      </c>
      <c r="E3" s="91" t="s">
        <v>222</v>
      </c>
      <c r="F3" s="91" t="s">
        <v>223</v>
      </c>
      <c r="G3" s="91" t="s">
        <v>224</v>
      </c>
      <c r="H3" s="91" t="s">
        <v>225</v>
      </c>
      <c r="I3" s="91" t="s">
        <v>226</v>
      </c>
      <c r="J3" s="91" t="s">
        <v>227</v>
      </c>
      <c r="K3" s="91" t="s">
        <v>228</v>
      </c>
      <c r="L3" s="91" t="s">
        <v>229</v>
      </c>
      <c r="M3" s="91" t="s">
        <v>230</v>
      </c>
      <c r="N3" s="91" t="s">
        <v>231</v>
      </c>
      <c r="O3" s="91" t="s">
        <v>232</v>
      </c>
      <c r="P3" s="91" t="s">
        <v>233</v>
      </c>
      <c r="Q3" s="91" t="s">
        <v>234</v>
      </c>
      <c r="R3" s="91" t="s">
        <v>235</v>
      </c>
      <c r="S3" s="91" t="s">
        <v>236</v>
      </c>
      <c r="T3" s="91" t="s">
        <v>237</v>
      </c>
      <c r="U3" s="91" t="s">
        <v>238</v>
      </c>
      <c r="V3" s="4"/>
      <c r="W3" s="4"/>
      <c r="X3" s="4"/>
    </row>
    <row r="4" spans="1:24" s="62" customFormat="1" ht="26.25" thickBot="1" x14ac:dyDescent="0.25">
      <c r="A4" s="65" t="s">
        <v>48</v>
      </c>
      <c r="B4" s="317" t="s">
        <v>220</v>
      </c>
      <c r="C4" s="318"/>
      <c r="D4" s="91" t="s">
        <v>731</v>
      </c>
      <c r="E4" s="91" t="s">
        <v>731</v>
      </c>
      <c r="F4" s="91" t="s">
        <v>731</v>
      </c>
      <c r="G4" s="91" t="s">
        <v>731</v>
      </c>
      <c r="H4" s="91" t="s">
        <v>731</v>
      </c>
      <c r="I4" s="91" t="s">
        <v>731</v>
      </c>
      <c r="J4" s="91" t="s">
        <v>731</v>
      </c>
      <c r="K4" s="91" t="s">
        <v>731</v>
      </c>
      <c r="L4" s="91" t="s">
        <v>731</v>
      </c>
      <c r="M4" s="91" t="s">
        <v>731</v>
      </c>
      <c r="N4" s="91" t="s">
        <v>731</v>
      </c>
      <c r="O4" s="91" t="s">
        <v>731</v>
      </c>
      <c r="P4" s="91" t="s">
        <v>731</v>
      </c>
      <c r="Q4" s="91" t="s">
        <v>731</v>
      </c>
      <c r="R4" s="91" t="s">
        <v>731</v>
      </c>
      <c r="S4" s="91" t="s">
        <v>731</v>
      </c>
      <c r="T4" s="91" t="s">
        <v>731</v>
      </c>
      <c r="U4" s="91" t="s">
        <v>731</v>
      </c>
      <c r="V4" s="4"/>
      <c r="W4" s="4"/>
      <c r="X4" s="4"/>
    </row>
    <row r="5" spans="1:24" ht="16.5" thickTop="1" x14ac:dyDescent="0.2">
      <c r="A5" s="67" t="s">
        <v>49</v>
      </c>
      <c r="B5" s="68">
        <f>SUM(B6,B7,B8)</f>
        <v>0</v>
      </c>
      <c r="C5" s="69">
        <f>SUM(C6,C7,C8)</f>
        <v>0</v>
      </c>
      <c r="D5" s="92">
        <f t="shared" ref="D5:U5" si="0">SUM(D6,D7,D8)</f>
        <v>0</v>
      </c>
      <c r="E5" s="92">
        <f t="shared" si="0"/>
        <v>0</v>
      </c>
      <c r="F5" s="92">
        <f t="shared" si="0"/>
        <v>0</v>
      </c>
      <c r="G5" s="92">
        <f t="shared" si="0"/>
        <v>0</v>
      </c>
      <c r="H5" s="92">
        <f t="shared" si="0"/>
        <v>0</v>
      </c>
      <c r="I5" s="92">
        <f t="shared" si="0"/>
        <v>0</v>
      </c>
      <c r="J5" s="92">
        <f t="shared" si="0"/>
        <v>0</v>
      </c>
      <c r="K5" s="92">
        <f t="shared" si="0"/>
        <v>0</v>
      </c>
      <c r="L5" s="92">
        <f t="shared" si="0"/>
        <v>0</v>
      </c>
      <c r="M5" s="92">
        <f t="shared" si="0"/>
        <v>0</v>
      </c>
      <c r="N5" s="92">
        <f t="shared" si="0"/>
        <v>0</v>
      </c>
      <c r="O5" s="92">
        <f t="shared" si="0"/>
        <v>0</v>
      </c>
      <c r="P5" s="92">
        <f t="shared" si="0"/>
        <v>0</v>
      </c>
      <c r="Q5" s="92">
        <f t="shared" si="0"/>
        <v>0</v>
      </c>
      <c r="R5" s="92">
        <f t="shared" si="0"/>
        <v>0</v>
      </c>
      <c r="S5" s="92">
        <f t="shared" si="0"/>
        <v>0</v>
      </c>
      <c r="T5" s="92">
        <f t="shared" si="0"/>
        <v>0</v>
      </c>
      <c r="U5" s="92">
        <f t="shared" si="0"/>
        <v>0</v>
      </c>
    </row>
    <row r="6" spans="1:24" s="62" customFormat="1" ht="15" x14ac:dyDescent="0.2">
      <c r="A6" s="105" t="s">
        <v>205</v>
      </c>
      <c r="B6" s="60">
        <f>INT(C6/adatok!$F$9)</f>
        <v>0</v>
      </c>
      <c r="C6" s="70">
        <f>SUM(D6:U6)</f>
        <v>0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66"/>
      <c r="W6" s="66"/>
      <c r="X6" s="66"/>
    </row>
    <row r="7" spans="1:24" s="62" customFormat="1" ht="15" x14ac:dyDescent="0.2">
      <c r="A7" s="105" t="s">
        <v>206</v>
      </c>
      <c r="B7" s="60">
        <f>INT(C7/adatok!$F$9)</f>
        <v>0</v>
      </c>
      <c r="C7" s="70">
        <f>SUM(D7:U7)</f>
        <v>0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66"/>
      <c r="W7" s="66"/>
      <c r="X7" s="66"/>
    </row>
    <row r="8" spans="1:24" s="62" customFormat="1" ht="15" x14ac:dyDescent="0.2">
      <c r="A8" s="105" t="s">
        <v>84</v>
      </c>
      <c r="B8" s="60">
        <f>INT(C8/adatok!$F$9)</f>
        <v>0</v>
      </c>
      <c r="C8" s="70">
        <f>SUM(D8:U8)</f>
        <v>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66"/>
      <c r="W8" s="66"/>
      <c r="X8" s="66"/>
    </row>
    <row r="9" spans="1:24" s="59" customFormat="1" ht="15.75" x14ac:dyDescent="0.2">
      <c r="A9" s="71" t="s">
        <v>3</v>
      </c>
      <c r="B9" s="72">
        <f>SUM(B10:B14)</f>
        <v>0</v>
      </c>
      <c r="C9" s="73">
        <f>SUM(C10:C14)</f>
        <v>0</v>
      </c>
      <c r="D9" s="93">
        <f t="shared" ref="D9:U9" si="1">SUM(D10:D13)</f>
        <v>0</v>
      </c>
      <c r="E9" s="93">
        <f t="shared" si="1"/>
        <v>0</v>
      </c>
      <c r="F9" s="93">
        <f t="shared" si="1"/>
        <v>0</v>
      </c>
      <c r="G9" s="93">
        <f t="shared" si="1"/>
        <v>0</v>
      </c>
      <c r="H9" s="93">
        <f t="shared" si="1"/>
        <v>0</v>
      </c>
      <c r="I9" s="93">
        <f t="shared" si="1"/>
        <v>0</v>
      </c>
      <c r="J9" s="93">
        <f t="shared" si="1"/>
        <v>0</v>
      </c>
      <c r="K9" s="93">
        <f t="shared" si="1"/>
        <v>0</v>
      </c>
      <c r="L9" s="93">
        <f t="shared" si="1"/>
        <v>0</v>
      </c>
      <c r="M9" s="93">
        <f t="shared" si="1"/>
        <v>0</v>
      </c>
      <c r="N9" s="93">
        <f t="shared" si="1"/>
        <v>0</v>
      </c>
      <c r="O9" s="93">
        <f t="shared" si="1"/>
        <v>0</v>
      </c>
      <c r="P9" s="93">
        <f t="shared" si="1"/>
        <v>0</v>
      </c>
      <c r="Q9" s="93">
        <f t="shared" si="1"/>
        <v>0</v>
      </c>
      <c r="R9" s="93">
        <f t="shared" si="1"/>
        <v>0</v>
      </c>
      <c r="S9" s="93">
        <f t="shared" si="1"/>
        <v>0</v>
      </c>
      <c r="T9" s="93">
        <f t="shared" si="1"/>
        <v>0</v>
      </c>
      <c r="U9" s="93">
        <f t="shared" si="1"/>
        <v>0</v>
      </c>
      <c r="V9" s="82"/>
      <c r="W9" s="82"/>
      <c r="X9" s="82"/>
    </row>
    <row r="10" spans="1:24" s="59" customFormat="1" ht="15" x14ac:dyDescent="0.2">
      <c r="A10" s="105" t="s">
        <v>134</v>
      </c>
      <c r="B10" s="60">
        <f>INT(C10/adatok!$F$9)</f>
        <v>0</v>
      </c>
      <c r="C10" s="70">
        <f>SUM(D10:U10)</f>
        <v>0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82"/>
      <c r="W10" s="82"/>
      <c r="X10" s="82"/>
    </row>
    <row r="11" spans="1:24" s="59" customFormat="1" ht="15" x14ac:dyDescent="0.2">
      <c r="A11" s="105" t="s">
        <v>5</v>
      </c>
      <c r="B11" s="60">
        <f>INT(C11/adatok!$F$9)</f>
        <v>0</v>
      </c>
      <c r="C11" s="70">
        <f>SUM(D11:U11)</f>
        <v>0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82"/>
      <c r="W11" s="82"/>
      <c r="X11" s="82"/>
    </row>
    <row r="12" spans="1:24" s="59" customFormat="1" ht="15" x14ac:dyDescent="0.2">
      <c r="A12" s="105" t="s">
        <v>207</v>
      </c>
      <c r="B12" s="60">
        <f>INT(C12/adatok!$F$9)</f>
        <v>0</v>
      </c>
      <c r="C12" s="70">
        <f>SUM(D12:U12)</f>
        <v>0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82"/>
      <c r="W12" s="82"/>
      <c r="X12" s="82"/>
    </row>
    <row r="13" spans="1:24" ht="15" x14ac:dyDescent="0.2">
      <c r="A13" s="105" t="s">
        <v>208</v>
      </c>
      <c r="B13" s="60">
        <f>INT(C13/adatok!$F$9)</f>
        <v>0</v>
      </c>
      <c r="C13" s="70">
        <f>SUM(D13:U13)</f>
        <v>0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</row>
    <row r="14" spans="1:24" ht="15" x14ac:dyDescent="0.2">
      <c r="A14" s="105" t="s">
        <v>245</v>
      </c>
      <c r="B14" s="60">
        <f>INT(C14/adatok!$F$9)</f>
        <v>0</v>
      </c>
      <c r="C14" s="70">
        <f>SUM(D14:U14)</f>
        <v>0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</row>
    <row r="15" spans="1:24" s="59" customFormat="1" ht="15.75" x14ac:dyDescent="0.2">
      <c r="A15" s="71" t="s">
        <v>209</v>
      </c>
      <c r="B15" s="72">
        <f>SUM(B16:B18)</f>
        <v>0</v>
      </c>
      <c r="C15" s="73">
        <f>SUM(C16:C18)</f>
        <v>0</v>
      </c>
      <c r="D15" s="93">
        <f t="shared" ref="D15:U15" si="2">SUM(D16:D18)</f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  <c r="H15" s="93">
        <f t="shared" si="2"/>
        <v>0</v>
      </c>
      <c r="I15" s="93">
        <f t="shared" si="2"/>
        <v>0</v>
      </c>
      <c r="J15" s="93">
        <f t="shared" si="2"/>
        <v>0</v>
      </c>
      <c r="K15" s="93">
        <f t="shared" si="2"/>
        <v>0</v>
      </c>
      <c r="L15" s="93">
        <f t="shared" si="2"/>
        <v>0</v>
      </c>
      <c r="M15" s="93">
        <f t="shared" si="2"/>
        <v>0</v>
      </c>
      <c r="N15" s="93">
        <f t="shared" si="2"/>
        <v>0</v>
      </c>
      <c r="O15" s="93">
        <f t="shared" si="2"/>
        <v>0</v>
      </c>
      <c r="P15" s="93">
        <f t="shared" si="2"/>
        <v>0</v>
      </c>
      <c r="Q15" s="93">
        <f t="shared" si="2"/>
        <v>0</v>
      </c>
      <c r="R15" s="93">
        <f t="shared" si="2"/>
        <v>0</v>
      </c>
      <c r="S15" s="93">
        <f t="shared" si="2"/>
        <v>0</v>
      </c>
      <c r="T15" s="93">
        <f t="shared" si="2"/>
        <v>0</v>
      </c>
      <c r="U15" s="93">
        <f t="shared" si="2"/>
        <v>0</v>
      </c>
      <c r="V15" s="82"/>
      <c r="W15" s="82"/>
      <c r="X15" s="82"/>
    </row>
    <row r="16" spans="1:24" s="59" customFormat="1" ht="15" x14ac:dyDescent="0.2">
      <c r="A16" s="105" t="s">
        <v>210</v>
      </c>
      <c r="B16" s="60">
        <f>INT(C16/adatok!$F$9)</f>
        <v>0</v>
      </c>
      <c r="C16" s="70">
        <f t="shared" ref="C16:C21" si="3">SUM(D16:U16)</f>
        <v>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82"/>
      <c r="W16" s="82"/>
      <c r="X16" s="82"/>
    </row>
    <row r="17" spans="1:24" s="59" customFormat="1" ht="15" x14ac:dyDescent="0.2">
      <c r="A17" s="105" t="s">
        <v>211</v>
      </c>
      <c r="B17" s="60">
        <f>INT(C17/adatok!$F$9)</f>
        <v>0</v>
      </c>
      <c r="C17" s="70">
        <f t="shared" si="3"/>
        <v>0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82"/>
      <c r="W17" s="82"/>
      <c r="X17" s="82"/>
    </row>
    <row r="18" spans="1:24" s="59" customFormat="1" ht="15" x14ac:dyDescent="0.2">
      <c r="A18" s="105" t="s">
        <v>212</v>
      </c>
      <c r="B18" s="60">
        <f>INT(C18/adatok!$F$9)</f>
        <v>0</v>
      </c>
      <c r="C18" s="70">
        <f t="shared" si="3"/>
        <v>0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82"/>
      <c r="W18" s="82"/>
      <c r="X18" s="82"/>
    </row>
    <row r="19" spans="1:24" s="59" customFormat="1" ht="15" x14ac:dyDescent="0.2">
      <c r="A19" s="105" t="s">
        <v>213</v>
      </c>
      <c r="B19" s="60">
        <f>INT(C19/adatok!$F$9)</f>
        <v>0</v>
      </c>
      <c r="C19" s="70">
        <f t="shared" si="3"/>
        <v>0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82"/>
      <c r="W19" s="82"/>
      <c r="X19" s="82"/>
    </row>
    <row r="20" spans="1:24" s="59" customFormat="1" ht="15" x14ac:dyDescent="0.2">
      <c r="A20" s="105" t="s">
        <v>215</v>
      </c>
      <c r="B20" s="60">
        <f>INT(C20/adatok!$F$9)</f>
        <v>0</v>
      </c>
      <c r="C20" s="70">
        <f t="shared" si="3"/>
        <v>0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82"/>
      <c r="W20" s="82"/>
      <c r="X20" s="82"/>
    </row>
    <row r="21" spans="1:24" s="59" customFormat="1" ht="15.75" thickBot="1" x14ac:dyDescent="0.25">
      <c r="A21" s="105" t="s">
        <v>214</v>
      </c>
      <c r="B21" s="60">
        <f>INT(C21/adatok!$F$9)</f>
        <v>0</v>
      </c>
      <c r="C21" s="70">
        <f t="shared" si="3"/>
        <v>0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82"/>
      <c r="W21" s="82"/>
      <c r="X21" s="82"/>
    </row>
    <row r="22" spans="1:24" s="59" customFormat="1" ht="17.25" thickTop="1" thickBot="1" x14ac:dyDescent="0.25">
      <c r="A22" s="74" t="s">
        <v>53</v>
      </c>
      <c r="B22" s="75">
        <f>B5+B9+B15</f>
        <v>0</v>
      </c>
      <c r="C22" s="76">
        <f>C5+C9+C15</f>
        <v>0</v>
      </c>
      <c r="D22" s="94">
        <f t="shared" ref="D22:U22" si="4">D5+D9+D15</f>
        <v>0</v>
      </c>
      <c r="E22" s="94">
        <f t="shared" si="4"/>
        <v>0</v>
      </c>
      <c r="F22" s="94">
        <f t="shared" si="4"/>
        <v>0</v>
      </c>
      <c r="G22" s="94">
        <f t="shared" si="4"/>
        <v>0</v>
      </c>
      <c r="H22" s="94">
        <f t="shared" si="4"/>
        <v>0</v>
      </c>
      <c r="I22" s="94">
        <f t="shared" si="4"/>
        <v>0</v>
      </c>
      <c r="J22" s="94">
        <f t="shared" si="4"/>
        <v>0</v>
      </c>
      <c r="K22" s="94">
        <f t="shared" si="4"/>
        <v>0</v>
      </c>
      <c r="L22" s="94">
        <f t="shared" si="4"/>
        <v>0</v>
      </c>
      <c r="M22" s="94">
        <f t="shared" si="4"/>
        <v>0</v>
      </c>
      <c r="N22" s="94">
        <f t="shared" si="4"/>
        <v>0</v>
      </c>
      <c r="O22" s="94">
        <f t="shared" si="4"/>
        <v>0</v>
      </c>
      <c r="P22" s="94">
        <f t="shared" si="4"/>
        <v>0</v>
      </c>
      <c r="Q22" s="94">
        <f t="shared" si="4"/>
        <v>0</v>
      </c>
      <c r="R22" s="94">
        <f t="shared" si="4"/>
        <v>0</v>
      </c>
      <c r="S22" s="94">
        <f t="shared" si="4"/>
        <v>0</v>
      </c>
      <c r="T22" s="94">
        <f t="shared" si="4"/>
        <v>0</v>
      </c>
      <c r="U22" s="94">
        <f t="shared" si="4"/>
        <v>0</v>
      </c>
      <c r="V22" s="82"/>
      <c r="W22" s="82"/>
      <c r="X22" s="82"/>
    </row>
    <row r="23" spans="1:24" s="59" customFormat="1" ht="16.5" thickTop="1" x14ac:dyDescent="0.2">
      <c r="A23" s="77"/>
      <c r="B23" s="78"/>
      <c r="C23" s="79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  <c r="V23" s="82"/>
      <c r="W23" s="82"/>
      <c r="X23" s="82"/>
    </row>
    <row r="24" spans="1:24" s="59" customFormat="1" ht="15.75" x14ac:dyDescent="0.2">
      <c r="A24" s="71" t="s">
        <v>216</v>
      </c>
      <c r="B24" s="72">
        <f>SUM(B25:B27)</f>
        <v>0</v>
      </c>
      <c r="C24" s="73">
        <f>SUM(C25:C27)</f>
        <v>0</v>
      </c>
      <c r="D24" s="93">
        <f t="shared" ref="D24:U24" si="5">SUM(D25:D27)</f>
        <v>0</v>
      </c>
      <c r="E24" s="93">
        <f t="shared" si="5"/>
        <v>0</v>
      </c>
      <c r="F24" s="93">
        <f t="shared" si="5"/>
        <v>0</v>
      </c>
      <c r="G24" s="93">
        <f t="shared" si="5"/>
        <v>0</v>
      </c>
      <c r="H24" s="93">
        <f t="shared" si="5"/>
        <v>0</v>
      </c>
      <c r="I24" s="93">
        <f t="shared" si="5"/>
        <v>0</v>
      </c>
      <c r="J24" s="93">
        <f t="shared" si="5"/>
        <v>0</v>
      </c>
      <c r="K24" s="93">
        <f t="shared" si="5"/>
        <v>0</v>
      </c>
      <c r="L24" s="93">
        <f t="shared" si="5"/>
        <v>0</v>
      </c>
      <c r="M24" s="93">
        <f t="shared" si="5"/>
        <v>0</v>
      </c>
      <c r="N24" s="93">
        <f t="shared" si="5"/>
        <v>0</v>
      </c>
      <c r="O24" s="93">
        <f t="shared" si="5"/>
        <v>0</v>
      </c>
      <c r="P24" s="93">
        <f t="shared" si="5"/>
        <v>0</v>
      </c>
      <c r="Q24" s="93">
        <f t="shared" si="5"/>
        <v>0</v>
      </c>
      <c r="R24" s="93">
        <f t="shared" si="5"/>
        <v>0</v>
      </c>
      <c r="S24" s="93">
        <f t="shared" si="5"/>
        <v>0</v>
      </c>
      <c r="T24" s="93">
        <f t="shared" si="5"/>
        <v>0</v>
      </c>
      <c r="U24" s="93">
        <f t="shared" si="5"/>
        <v>0</v>
      </c>
      <c r="V24" s="82"/>
      <c r="W24" s="82"/>
      <c r="X24" s="82"/>
    </row>
    <row r="25" spans="1:24" s="59" customFormat="1" ht="15" x14ac:dyDescent="0.2">
      <c r="A25" s="105" t="s">
        <v>0</v>
      </c>
      <c r="B25" s="60">
        <f>INT(C25/adatok!$F$9)</f>
        <v>0</v>
      </c>
      <c r="C25" s="70">
        <f>SUM(D25:U25)</f>
        <v>0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82"/>
      <c r="W25" s="82"/>
      <c r="X25" s="82"/>
    </row>
    <row r="26" spans="1:24" s="62" customFormat="1" ht="15" x14ac:dyDescent="0.2">
      <c r="A26" s="105" t="s">
        <v>217</v>
      </c>
      <c r="B26" s="60">
        <f>INT(C26/adatok!$F$9)</f>
        <v>0</v>
      </c>
      <c r="C26" s="70">
        <f>SUM(D26:U26)</f>
        <v>0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66"/>
      <c r="W26" s="66"/>
      <c r="X26" s="66"/>
    </row>
    <row r="27" spans="1:24" s="62" customFormat="1" ht="15.75" thickBot="1" x14ac:dyDescent="0.25">
      <c r="A27" s="106" t="s">
        <v>165</v>
      </c>
      <c r="B27" s="60">
        <f>INT(C27/adatok!$F$9)</f>
        <v>0</v>
      </c>
      <c r="C27" s="70">
        <f>SUM(D27:U27)</f>
        <v>0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66"/>
      <c r="W27" s="66"/>
      <c r="X27" s="66"/>
    </row>
    <row r="28" spans="1:24" s="59" customFormat="1" ht="16.5" thickTop="1" x14ac:dyDescent="0.2">
      <c r="A28" s="77"/>
      <c r="B28" s="78"/>
      <c r="C28" s="79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/>
      <c r="V28" s="82"/>
      <c r="W28" s="82"/>
      <c r="X28" s="82"/>
    </row>
    <row r="29" spans="1:24" s="59" customFormat="1" ht="16.5" thickBot="1" x14ac:dyDescent="0.25">
      <c r="A29" s="80" t="s">
        <v>247</v>
      </c>
      <c r="B29" s="319"/>
      <c r="C29" s="319"/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0"/>
      <c r="V29" s="82"/>
      <c r="W29" s="82"/>
      <c r="X29" s="82"/>
    </row>
    <row r="30" spans="1:24" s="59" customFormat="1" ht="16.5" thickTop="1" x14ac:dyDescent="0.2">
      <c r="A30" s="67" t="s">
        <v>218</v>
      </c>
      <c r="B30" s="60">
        <f>INT(C30/adatok!$F$9)</f>
        <v>0</v>
      </c>
      <c r="C30" s="70">
        <f>SUM(D30:U30)</f>
        <v>0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82"/>
      <c r="W30" s="82"/>
      <c r="X30" s="82"/>
    </row>
    <row r="31" spans="1:24" s="59" customFormat="1" ht="16.5" thickBot="1" x14ac:dyDescent="0.25">
      <c r="A31" s="71" t="s">
        <v>246</v>
      </c>
      <c r="B31" s="72">
        <f>INT(C31/adatok!$F$9)</f>
        <v>0</v>
      </c>
      <c r="C31" s="73">
        <f>SUM(D31:U31)</f>
        <v>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82"/>
      <c r="W31" s="82"/>
      <c r="X31" s="82"/>
    </row>
    <row r="32" spans="1:24" s="59" customFormat="1" ht="17.25" thickTop="1" thickBot="1" x14ac:dyDescent="0.25">
      <c r="A32" s="74" t="s">
        <v>61</v>
      </c>
      <c r="B32" s="81">
        <f t="shared" ref="B32:U32" si="6">SUM(B30:B31)</f>
        <v>0</v>
      </c>
      <c r="C32" s="76">
        <f t="shared" si="6"/>
        <v>0</v>
      </c>
      <c r="D32" s="94">
        <f t="shared" si="6"/>
        <v>0</v>
      </c>
      <c r="E32" s="94">
        <f t="shared" si="6"/>
        <v>0</v>
      </c>
      <c r="F32" s="94">
        <f t="shared" si="6"/>
        <v>0</v>
      </c>
      <c r="G32" s="94">
        <f t="shared" si="6"/>
        <v>0</v>
      </c>
      <c r="H32" s="94">
        <f t="shared" si="6"/>
        <v>0</v>
      </c>
      <c r="I32" s="94">
        <f t="shared" si="6"/>
        <v>0</v>
      </c>
      <c r="J32" s="94">
        <f t="shared" si="6"/>
        <v>0</v>
      </c>
      <c r="K32" s="94">
        <f t="shared" si="6"/>
        <v>0</v>
      </c>
      <c r="L32" s="94">
        <f t="shared" si="6"/>
        <v>0</v>
      </c>
      <c r="M32" s="94">
        <f t="shared" si="6"/>
        <v>0</v>
      </c>
      <c r="N32" s="94">
        <f t="shared" si="6"/>
        <v>0</v>
      </c>
      <c r="O32" s="94">
        <f t="shared" si="6"/>
        <v>0</v>
      </c>
      <c r="P32" s="94">
        <f t="shared" si="6"/>
        <v>0</v>
      </c>
      <c r="Q32" s="94">
        <f t="shared" si="6"/>
        <v>0</v>
      </c>
      <c r="R32" s="94">
        <f t="shared" si="6"/>
        <v>0</v>
      </c>
      <c r="S32" s="94">
        <f t="shared" si="6"/>
        <v>0</v>
      </c>
      <c r="T32" s="94">
        <f t="shared" si="6"/>
        <v>0</v>
      </c>
      <c r="U32" s="94">
        <f t="shared" si="6"/>
        <v>0</v>
      </c>
      <c r="V32" s="82"/>
      <c r="W32" s="82"/>
      <c r="X32" s="82"/>
    </row>
    <row r="33" spans="1:24" s="59" customFormat="1" ht="13.5" thickTop="1" x14ac:dyDescent="0.2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82"/>
      <c r="W33" s="82"/>
      <c r="X33" s="82"/>
    </row>
    <row r="34" spans="1:24" s="59" customFormat="1" outlineLevel="1" x14ac:dyDescent="0.2">
      <c r="A34" s="61"/>
      <c r="B34" s="61"/>
      <c r="C34" s="6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82"/>
      <c r="W34" s="82"/>
      <c r="X34" s="82"/>
    </row>
    <row r="35" spans="1:24" s="59" customFormat="1" outlineLevel="1" x14ac:dyDescent="0.2">
      <c r="A35" s="61"/>
      <c r="B35" s="61"/>
      <c r="C35" s="6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82"/>
      <c r="W35" s="82"/>
      <c r="X35" s="82"/>
    </row>
    <row r="36" spans="1:24" s="59" customFormat="1" outlineLevel="1" x14ac:dyDescent="0.2">
      <c r="A36" s="61"/>
      <c r="B36" s="61"/>
      <c r="C36" s="6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82"/>
      <c r="W36" s="82"/>
      <c r="X36" s="82"/>
    </row>
    <row r="37" spans="1:24" s="59" customFormat="1" outlineLevel="1" x14ac:dyDescent="0.2">
      <c r="A37" s="61"/>
      <c r="B37" s="61"/>
      <c r="C37" s="6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82"/>
      <c r="W37" s="82"/>
      <c r="X37" s="82"/>
    </row>
    <row r="38" spans="1:24" s="59" customFormat="1" outlineLevel="1" x14ac:dyDescent="0.2">
      <c r="A38" s="61"/>
      <c r="B38" s="61"/>
      <c r="C38" s="6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82"/>
      <c r="W38" s="82"/>
      <c r="X38" s="82"/>
    </row>
    <row r="39" spans="1:24" s="62" customFormat="1" ht="15" x14ac:dyDescent="0.2">
      <c r="A39" s="61"/>
      <c r="B39" s="61"/>
      <c r="C39" s="6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66"/>
      <c r="W39" s="66"/>
      <c r="X39" s="66"/>
    </row>
    <row r="40" spans="1:24" s="62" customFormat="1" ht="15" customHeight="1" x14ac:dyDescent="0.2">
      <c r="A40" s="61"/>
      <c r="B40" s="61"/>
      <c r="C40" s="6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6"/>
      <c r="W40" s="66"/>
      <c r="X40" s="66"/>
    </row>
    <row r="41" spans="1:24" s="62" customFormat="1" ht="15" x14ac:dyDescent="0.2">
      <c r="A41" s="61"/>
      <c r="B41" s="61"/>
      <c r="C41" s="6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66"/>
      <c r="W41" s="66"/>
      <c r="X41" s="66"/>
    </row>
    <row r="42" spans="1:24" s="59" customFormat="1" outlineLevel="1" x14ac:dyDescent="0.2">
      <c r="A42" s="61"/>
      <c r="B42" s="61"/>
      <c r="C42" s="6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82"/>
      <c r="W42" s="82"/>
      <c r="X42" s="82"/>
    </row>
    <row r="43" spans="1:24" s="59" customFormat="1" outlineLevel="1" x14ac:dyDescent="0.2">
      <c r="A43" s="61"/>
      <c r="B43" s="61"/>
      <c r="C43" s="6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82"/>
      <c r="W43" s="82"/>
      <c r="X43" s="82"/>
    </row>
    <row r="44" spans="1:24" s="59" customFormat="1" outlineLevel="1" x14ac:dyDescent="0.2">
      <c r="A44" s="61"/>
      <c r="B44" s="61"/>
      <c r="C44" s="6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82"/>
      <c r="W44" s="82"/>
      <c r="X44" s="82"/>
    </row>
    <row r="45" spans="1:24" s="84" customFormat="1" ht="15" x14ac:dyDescent="0.2">
      <c r="A45" s="61"/>
      <c r="B45" s="61"/>
      <c r="C45" s="6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85"/>
      <c r="W45" s="85"/>
      <c r="X45" s="85"/>
    </row>
    <row r="46" spans="1:24" s="62" customFormat="1" ht="15" x14ac:dyDescent="0.2">
      <c r="A46" s="61"/>
      <c r="B46" s="61"/>
      <c r="C46" s="6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66"/>
      <c r="W46" s="66"/>
      <c r="X46" s="66"/>
    </row>
    <row r="47" spans="1:24" s="62" customFormat="1" ht="15" x14ac:dyDescent="0.2">
      <c r="A47" s="61"/>
      <c r="B47" s="61"/>
      <c r="C47" s="6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66"/>
      <c r="W47" s="66"/>
      <c r="X47" s="66"/>
    </row>
    <row r="48" spans="1:24" s="59" customFormat="1" outlineLevel="1" x14ac:dyDescent="0.2">
      <c r="A48" s="61"/>
      <c r="B48" s="61"/>
      <c r="C48" s="6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82"/>
      <c r="W48" s="82"/>
      <c r="X48" s="82"/>
    </row>
    <row r="49" spans="1:24" s="59" customFormat="1" outlineLevel="1" x14ac:dyDescent="0.2">
      <c r="A49" s="61"/>
      <c r="B49" s="61"/>
      <c r="C49" s="6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82"/>
      <c r="W49" s="82"/>
      <c r="X49" s="82"/>
    </row>
    <row r="50" spans="1:24" s="62" customFormat="1" ht="15" x14ac:dyDescent="0.2">
      <c r="A50" s="61"/>
      <c r="B50" s="61"/>
      <c r="C50" s="6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66"/>
      <c r="W50" s="66"/>
      <c r="X50" s="66"/>
    </row>
    <row r="51" spans="1:24" s="62" customFormat="1" ht="15" x14ac:dyDescent="0.2">
      <c r="A51" s="61"/>
      <c r="B51" s="61"/>
      <c r="C51" s="6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66"/>
      <c r="W51" s="66"/>
      <c r="X51" s="66"/>
    </row>
    <row r="52" spans="1:24" s="62" customFormat="1" ht="15" x14ac:dyDescent="0.2">
      <c r="A52" s="61"/>
      <c r="B52" s="61"/>
      <c r="C52" s="6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66"/>
      <c r="W52" s="66"/>
      <c r="X52" s="66"/>
    </row>
    <row r="55" spans="1:24" s="62" customFormat="1" ht="15" x14ac:dyDescent="0.2">
      <c r="A55" s="61"/>
      <c r="B55" s="61"/>
      <c r="C55" s="6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66"/>
      <c r="W55" s="66"/>
      <c r="X55" s="66"/>
    </row>
    <row r="56" spans="1:24" s="62" customFormat="1" ht="15" x14ac:dyDescent="0.2">
      <c r="A56" s="61"/>
      <c r="B56" s="61"/>
      <c r="C56" s="6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6"/>
      <c r="W56" s="66"/>
      <c r="X56" s="66"/>
    </row>
    <row r="57" spans="1:24" s="62" customFormat="1" ht="15" x14ac:dyDescent="0.2">
      <c r="A57" s="61"/>
      <c r="B57" s="61"/>
      <c r="C57" s="6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6"/>
      <c r="W57" s="66"/>
      <c r="X57" s="66"/>
    </row>
    <row r="59" spans="1:24" x14ac:dyDescent="0.2"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90"/>
      <c r="W59" s="90"/>
      <c r="X59" s="90"/>
    </row>
    <row r="60" spans="1:24" s="62" customFormat="1" ht="15" x14ac:dyDescent="0.2">
      <c r="A60" s="61"/>
      <c r="B60" s="61"/>
      <c r="C60" s="6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6"/>
      <c r="W60" s="66"/>
      <c r="X60" s="66"/>
    </row>
    <row r="62" spans="1:24" s="62" customFormat="1" ht="15" hidden="1" x14ac:dyDescent="0.2">
      <c r="A62" s="61"/>
      <c r="B62" s="61"/>
      <c r="C62" s="6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66"/>
      <c r="W62" s="66"/>
      <c r="X62" s="66"/>
    </row>
    <row r="63" spans="1:24" s="59" customFormat="1" outlineLevel="1" x14ac:dyDescent="0.2">
      <c r="A63" s="61"/>
      <c r="B63" s="61"/>
      <c r="C63" s="6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82"/>
      <c r="W63" s="82"/>
      <c r="X63" s="82"/>
    </row>
    <row r="64" spans="1:24" s="59" customFormat="1" outlineLevel="1" x14ac:dyDescent="0.2">
      <c r="A64" s="61"/>
      <c r="B64" s="61"/>
      <c r="C64" s="6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82"/>
      <c r="W64" s="82"/>
      <c r="X64" s="82"/>
    </row>
    <row r="65" spans="1:24" s="59" customFormat="1" outlineLevel="1" x14ac:dyDescent="0.2">
      <c r="A65" s="61"/>
      <c r="B65" s="61"/>
      <c r="C65" s="6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82"/>
      <c r="W65" s="82"/>
      <c r="X65" s="82"/>
    </row>
    <row r="66" spans="1:24" s="62" customFormat="1" ht="15" x14ac:dyDescent="0.2">
      <c r="A66" s="61"/>
      <c r="B66" s="61"/>
      <c r="C66" s="6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66"/>
      <c r="W66" s="66"/>
      <c r="X66" s="66"/>
    </row>
    <row r="67" spans="1:24" s="62" customFormat="1" ht="15" hidden="1" x14ac:dyDescent="0.2">
      <c r="A67" s="61"/>
      <c r="B67" s="61"/>
      <c r="C67" s="6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6"/>
      <c r="W67" s="66"/>
      <c r="X67" s="66"/>
    </row>
    <row r="69" spans="1:24" s="62" customFormat="1" ht="15" hidden="1" x14ac:dyDescent="0.2">
      <c r="A69" s="61"/>
      <c r="B69" s="61"/>
      <c r="C69" s="6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66"/>
      <c r="W69" s="66"/>
      <c r="X69" s="66"/>
    </row>
    <row r="70" spans="1:24" s="62" customFormat="1" ht="15" hidden="1" x14ac:dyDescent="0.2">
      <c r="A70" s="61"/>
      <c r="B70" s="61"/>
      <c r="C70" s="6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66"/>
      <c r="W70" s="66"/>
      <c r="X70" s="66"/>
    </row>
    <row r="71" spans="1:24" s="62" customFormat="1" ht="15" x14ac:dyDescent="0.2">
      <c r="A71" s="61"/>
      <c r="B71" s="61"/>
      <c r="C71" s="6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66"/>
      <c r="W71" s="66"/>
      <c r="X71" s="66"/>
    </row>
    <row r="77" spans="1:24" s="59" customFormat="1" ht="18.75" customHeight="1" x14ac:dyDescent="0.2">
      <c r="A77" s="61"/>
      <c r="B77" s="61"/>
      <c r="C77" s="6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82"/>
      <c r="W77" s="82"/>
      <c r="X77" s="82"/>
    </row>
    <row r="78" spans="1:24" s="59" customFormat="1" x14ac:dyDescent="0.2">
      <c r="A78" s="61"/>
      <c r="B78" s="61"/>
      <c r="C78" s="6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82"/>
      <c r="W78" s="82"/>
      <c r="X78" s="82"/>
    </row>
    <row r="79" spans="1:24" s="59" customFormat="1" x14ac:dyDescent="0.2">
      <c r="A79" s="61"/>
      <c r="B79" s="61"/>
      <c r="C79" s="6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82"/>
      <c r="W79" s="82"/>
      <c r="X79" s="82"/>
    </row>
    <row r="80" spans="1:24" s="59" customFormat="1" x14ac:dyDescent="0.2">
      <c r="A80" s="61"/>
      <c r="B80" s="61"/>
      <c r="C80" s="6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82"/>
      <c r="W80" s="82"/>
      <c r="X80" s="82"/>
    </row>
    <row r="81" spans="1:24" s="59" customFormat="1" x14ac:dyDescent="0.2">
      <c r="A81" s="61"/>
      <c r="B81" s="61"/>
      <c r="C81" s="6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82"/>
      <c r="W81" s="82"/>
      <c r="X81" s="82"/>
    </row>
    <row r="82" spans="1:24" s="59" customFormat="1" x14ac:dyDescent="0.2">
      <c r="A82" s="61"/>
      <c r="B82" s="61"/>
      <c r="C82" s="6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82"/>
      <c r="W82" s="82"/>
      <c r="X82" s="82"/>
    </row>
    <row r="83" spans="1:24" s="59" customFormat="1" x14ac:dyDescent="0.2">
      <c r="A83" s="61"/>
      <c r="B83" s="61"/>
      <c r="C83" s="6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82"/>
      <c r="W83" s="82"/>
      <c r="X83" s="82"/>
    </row>
  </sheetData>
  <mergeCells count="3">
    <mergeCell ref="A2:C2"/>
    <mergeCell ref="B4:C4"/>
    <mergeCell ref="B29:C29"/>
  </mergeCells>
  <phoneticPr fontId="3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C1" workbookViewId="0">
      <selection activeCell="G1" sqref="G1"/>
    </sheetView>
  </sheetViews>
  <sheetFormatPr defaultRowHeight="12.75" x14ac:dyDescent="0.2"/>
  <cols>
    <col min="3" max="3" width="22.42578125" bestFit="1" customWidth="1"/>
    <col min="4" max="4" width="13.85546875" customWidth="1"/>
  </cols>
  <sheetData>
    <row r="1" spans="1:7" x14ac:dyDescent="0.2">
      <c r="D1" s="284">
        <v>1</v>
      </c>
      <c r="E1" s="284">
        <v>2</v>
      </c>
      <c r="F1" s="284">
        <v>3</v>
      </c>
      <c r="G1" s="284" t="s">
        <v>730</v>
      </c>
    </row>
    <row r="2" spans="1:7" x14ac:dyDescent="0.2">
      <c r="C2" s="104" t="s">
        <v>727</v>
      </c>
    </row>
    <row r="3" spans="1:7" x14ac:dyDescent="0.2">
      <c r="A3" s="104" t="s">
        <v>240</v>
      </c>
      <c r="C3" s="104" t="s">
        <v>728</v>
      </c>
      <c r="D3" s="240"/>
    </row>
    <row r="4" spans="1:7" x14ac:dyDescent="0.2">
      <c r="C4" s="104" t="s">
        <v>216</v>
      </c>
      <c r="D4" s="240"/>
    </row>
    <row r="5" spans="1:7" x14ac:dyDescent="0.2">
      <c r="A5" s="104" t="s">
        <v>241</v>
      </c>
      <c r="C5" s="104" t="s">
        <v>729</v>
      </c>
      <c r="D5" s="240"/>
    </row>
  </sheetData>
  <phoneticPr fontId="3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42"/>
  <sheetViews>
    <sheetView topLeftCell="A106" workbookViewId="0">
      <selection activeCell="Z9" sqref="Z9:AA9"/>
    </sheetView>
  </sheetViews>
  <sheetFormatPr defaultColWidth="9.140625" defaultRowHeight="12.75" outlineLevelRow="1" x14ac:dyDescent="0.2"/>
  <cols>
    <col min="1" max="1" width="5.7109375" style="8" bestFit="1" customWidth="1"/>
    <col min="2" max="2" width="62.7109375" style="3" customWidth="1"/>
    <col min="3" max="4" width="16.85546875" style="3" customWidth="1"/>
    <col min="5" max="5" width="12.5703125" style="3" bestFit="1" customWidth="1"/>
    <col min="6" max="16384" width="9.140625" style="3"/>
  </cols>
  <sheetData>
    <row r="1" spans="1:5" x14ac:dyDescent="0.2">
      <c r="B1" s="3" t="s">
        <v>336</v>
      </c>
      <c r="C1" s="116"/>
      <c r="D1" s="117"/>
    </row>
    <row r="2" spans="1:5" x14ac:dyDescent="0.2">
      <c r="B2" s="300" t="s">
        <v>396</v>
      </c>
      <c r="C2" s="300"/>
      <c r="D2" s="300"/>
    </row>
    <row r="3" spans="1:5" x14ac:dyDescent="0.2">
      <c r="B3" s="118"/>
      <c r="C3" s="118"/>
      <c r="D3" s="118"/>
    </row>
    <row r="4" spans="1:5" x14ac:dyDescent="0.2">
      <c r="B4" s="301" t="s">
        <v>405</v>
      </c>
      <c r="C4" s="301"/>
      <c r="D4" s="301"/>
    </row>
    <row r="5" spans="1:5" ht="13.5" customHeight="1" x14ac:dyDescent="0.2"/>
    <row r="6" spans="1:5" x14ac:dyDescent="0.2">
      <c r="B6" s="147" t="s">
        <v>48</v>
      </c>
      <c r="C6" s="302"/>
      <c r="D6" s="302"/>
    </row>
    <row r="7" spans="1:5" x14ac:dyDescent="0.2">
      <c r="A7" s="158" t="s">
        <v>277</v>
      </c>
      <c r="B7" s="123" t="s">
        <v>49</v>
      </c>
      <c r="C7" s="124">
        <f>SUM(C8,C19,C30)</f>
        <v>77265843</v>
      </c>
      <c r="D7" s="151">
        <f>SUM(D8,D19,D30)</f>
        <v>1097175</v>
      </c>
      <c r="E7" s="242"/>
    </row>
    <row r="8" spans="1:5" x14ac:dyDescent="0.2">
      <c r="A8" s="158" t="s">
        <v>278</v>
      </c>
      <c r="B8" s="119" t="s">
        <v>256</v>
      </c>
      <c r="C8" s="120">
        <f>SUM(C9,C14)</f>
        <v>50841055</v>
      </c>
      <c r="D8" s="152">
        <f>SUM(D9,D14)</f>
        <v>721943</v>
      </c>
      <c r="E8" s="242"/>
    </row>
    <row r="9" spans="1:5" ht="12" customHeight="1" outlineLevel="1" x14ac:dyDescent="0.2">
      <c r="A9" s="158" t="s">
        <v>279</v>
      </c>
      <c r="B9" s="121" t="s">
        <v>259</v>
      </c>
      <c r="C9" s="122">
        <f>SUM(C10:C13)</f>
        <v>42151196</v>
      </c>
      <c r="D9" s="153">
        <f>SUM(D10:D13)</f>
        <v>598547</v>
      </c>
      <c r="E9" s="242"/>
    </row>
    <row r="10" spans="1:5" ht="12" customHeight="1" outlineLevel="1" x14ac:dyDescent="0.2">
      <c r="A10" s="158"/>
      <c r="B10" s="137" t="s">
        <v>375</v>
      </c>
      <c r="C10" s="122">
        <f>INT(D10/adatok!$F$9)</f>
        <v>0</v>
      </c>
      <c r="D10" s="153">
        <f>'Főállású oktatók'!F4+'Főállású oktatók'!F5</f>
        <v>0</v>
      </c>
      <c r="E10" s="242"/>
    </row>
    <row r="11" spans="1:5" s="215" customFormat="1" ht="12" customHeight="1" outlineLevel="1" x14ac:dyDescent="0.2">
      <c r="A11" s="214"/>
      <c r="B11" s="137" t="s">
        <v>376</v>
      </c>
      <c r="C11" s="122">
        <f>INT(D11/adatok!$F$9)</f>
        <v>0</v>
      </c>
      <c r="D11" s="153">
        <f>D10*adatok!$F$7</f>
        <v>0</v>
      </c>
      <c r="E11" s="242"/>
    </row>
    <row r="12" spans="1:5" ht="12" customHeight="1" outlineLevel="1" x14ac:dyDescent="0.2">
      <c r="A12" s="158"/>
      <c r="B12" s="137" t="s">
        <v>83</v>
      </c>
      <c r="C12" s="122">
        <f>INT(D12/adatok!$F$9)</f>
        <v>33446478</v>
      </c>
      <c r="D12" s="153">
        <f>'Társult órabéresek'!C3</f>
        <v>474940</v>
      </c>
      <c r="E12" s="242"/>
    </row>
    <row r="13" spans="1:5" ht="12" customHeight="1" outlineLevel="1" x14ac:dyDescent="0.2">
      <c r="A13" s="158"/>
      <c r="B13" s="137" t="s">
        <v>65</v>
      </c>
      <c r="C13" s="122">
        <f>INT(D13/adatok!$F$9)</f>
        <v>8704718</v>
      </c>
      <c r="D13" s="153">
        <f>Óraadók!C3</f>
        <v>123607</v>
      </c>
      <c r="E13" s="242"/>
    </row>
    <row r="14" spans="1:5" ht="12" customHeight="1" outlineLevel="1" x14ac:dyDescent="0.2">
      <c r="A14" s="158" t="s">
        <v>333</v>
      </c>
      <c r="B14" s="121" t="s">
        <v>377</v>
      </c>
      <c r="C14" s="122">
        <f>SUM(C15:C18)</f>
        <v>8689859</v>
      </c>
      <c r="D14" s="153">
        <f>SUM(D15:D18)</f>
        <v>123396</v>
      </c>
      <c r="E14" s="242"/>
    </row>
    <row r="15" spans="1:5" ht="12" customHeight="1" outlineLevel="1" x14ac:dyDescent="0.2">
      <c r="A15" s="158"/>
      <c r="B15" s="137" t="s">
        <v>66</v>
      </c>
      <c r="C15" s="122">
        <f>INT(D15/adatok!$F$9)</f>
        <v>0</v>
      </c>
      <c r="D15" s="153">
        <f>Kuratórium!D3</f>
        <v>0</v>
      </c>
      <c r="E15" s="242"/>
    </row>
    <row r="16" spans="1:5" ht="12" customHeight="1" outlineLevel="1" x14ac:dyDescent="0.2">
      <c r="A16" s="158"/>
      <c r="B16" s="137" t="s">
        <v>100</v>
      </c>
      <c r="C16" s="122">
        <f>INT(D16/adatok!$F$9)</f>
        <v>0</v>
      </c>
      <c r="D16" s="153">
        <f>Adminisztráció!D3+Adminisztráció!D4</f>
        <v>0</v>
      </c>
      <c r="E16" s="242"/>
    </row>
    <row r="17" spans="1:5" s="215" customFormat="1" ht="12" customHeight="1" outlineLevel="1" x14ac:dyDescent="0.2">
      <c r="A17" s="214"/>
      <c r="B17" s="137" t="s">
        <v>378</v>
      </c>
      <c r="C17" s="122">
        <f>INT(D17/adatok!$F$9)</f>
        <v>0</v>
      </c>
      <c r="D17" s="153">
        <f>D16*adatok!$F$7</f>
        <v>0</v>
      </c>
      <c r="E17" s="242"/>
    </row>
    <row r="18" spans="1:5" ht="12" customHeight="1" outlineLevel="1" x14ac:dyDescent="0.2">
      <c r="A18" s="158"/>
      <c r="B18" s="137" t="s">
        <v>266</v>
      </c>
      <c r="C18" s="122">
        <f>INT(D18/adatok!$F$9)</f>
        <v>8689859</v>
      </c>
      <c r="D18" s="153">
        <f>'Főállású oktatók'!F11</f>
        <v>123396</v>
      </c>
      <c r="E18" s="242"/>
    </row>
    <row r="19" spans="1:5" x14ac:dyDescent="0.2">
      <c r="A19" s="158" t="s">
        <v>280</v>
      </c>
      <c r="B19" s="119" t="s">
        <v>50</v>
      </c>
      <c r="C19" s="120">
        <f>SUM(C20,C25)</f>
        <v>26424788</v>
      </c>
      <c r="D19" s="153">
        <f>SUM(D20,D25)</f>
        <v>375232</v>
      </c>
      <c r="E19" s="242"/>
    </row>
    <row r="20" spans="1:5" ht="12" customHeight="1" outlineLevel="1" x14ac:dyDescent="0.2">
      <c r="A20" s="158" t="s">
        <v>401</v>
      </c>
      <c r="B20" s="121" t="s">
        <v>67</v>
      </c>
      <c r="C20" s="122">
        <f>SUM(C21:C24)</f>
        <v>22700563</v>
      </c>
      <c r="D20" s="153">
        <f>SUM(D21:D24)</f>
        <v>322348</v>
      </c>
      <c r="E20" s="242"/>
    </row>
    <row r="21" spans="1:5" ht="12" customHeight="1" outlineLevel="1" x14ac:dyDescent="0.2">
      <c r="A21" s="158"/>
      <c r="B21" s="137" t="s">
        <v>375</v>
      </c>
      <c r="C21" s="122">
        <f>INT(D21/adatok!$F$9)</f>
        <v>0</v>
      </c>
      <c r="D21" s="153">
        <f>'Főállású oktatók'!F6</f>
        <v>0</v>
      </c>
      <c r="E21" s="242"/>
    </row>
    <row r="22" spans="1:5" s="215" customFormat="1" ht="12" customHeight="1" outlineLevel="1" x14ac:dyDescent="0.2">
      <c r="A22" s="214"/>
      <c r="B22" s="137" t="s">
        <v>376</v>
      </c>
      <c r="C22" s="122">
        <f>INT(D22/adatok!$F$9)</f>
        <v>0</v>
      </c>
      <c r="D22" s="153">
        <f>D21*adatok!$F$7</f>
        <v>0</v>
      </c>
      <c r="E22" s="242"/>
    </row>
    <row r="23" spans="1:5" ht="12" customHeight="1" outlineLevel="1" x14ac:dyDescent="0.2">
      <c r="A23" s="158"/>
      <c r="B23" s="137" t="s">
        <v>75</v>
      </c>
      <c r="C23" s="122">
        <f>INT(D23/adatok!$F$9)</f>
        <v>18013028</v>
      </c>
      <c r="D23" s="153">
        <f>'Társult órabéresek'!C4</f>
        <v>255785</v>
      </c>
      <c r="E23" s="242"/>
    </row>
    <row r="24" spans="1:5" ht="12" customHeight="1" outlineLevel="1" x14ac:dyDescent="0.2">
      <c r="A24" s="158"/>
      <c r="B24" s="137" t="s">
        <v>65</v>
      </c>
      <c r="C24" s="122">
        <f>INT(D24/adatok!$F$9)</f>
        <v>4687535</v>
      </c>
      <c r="D24" s="153">
        <f>Óraadók!C4</f>
        <v>66563</v>
      </c>
      <c r="E24" s="242"/>
    </row>
    <row r="25" spans="1:5" ht="12" customHeight="1" outlineLevel="1" x14ac:dyDescent="0.2">
      <c r="A25" s="158" t="s">
        <v>402</v>
      </c>
      <c r="B25" s="121" t="s">
        <v>68</v>
      </c>
      <c r="C25" s="122">
        <f>SUM(C26:C29)</f>
        <v>3724225</v>
      </c>
      <c r="D25" s="153">
        <f>Kuratórium!D4+SUM(D26:D29)</f>
        <v>52884</v>
      </c>
      <c r="E25" s="242"/>
    </row>
    <row r="26" spans="1:5" ht="12" customHeight="1" outlineLevel="1" x14ac:dyDescent="0.2">
      <c r="A26" s="158"/>
      <c r="B26" s="137" t="s">
        <v>66</v>
      </c>
      <c r="C26" s="122">
        <f>INT(D26/adatok!$F$9)</f>
        <v>0</v>
      </c>
      <c r="D26" s="153">
        <f>Kuratórium!D4</f>
        <v>0</v>
      </c>
      <c r="E26" s="242"/>
    </row>
    <row r="27" spans="1:5" ht="12" customHeight="1" outlineLevel="1" x14ac:dyDescent="0.2">
      <c r="A27" s="158"/>
      <c r="B27" s="137" t="s">
        <v>100</v>
      </c>
      <c r="C27" s="122">
        <f>INT(D27/adatok!$F$9)</f>
        <v>0</v>
      </c>
      <c r="D27" s="153">
        <f>Adminisztráció!D5</f>
        <v>0</v>
      </c>
      <c r="E27" s="242"/>
    </row>
    <row r="28" spans="1:5" s="215" customFormat="1" ht="12" customHeight="1" outlineLevel="1" x14ac:dyDescent="0.2">
      <c r="A28" s="214"/>
      <c r="B28" s="137" t="s">
        <v>378</v>
      </c>
      <c r="C28" s="122">
        <f>INT(D28/adatok!$F$9)</f>
        <v>0</v>
      </c>
      <c r="D28" s="153">
        <f>D27*adatok!$F$7</f>
        <v>0</v>
      </c>
      <c r="E28" s="242"/>
    </row>
    <row r="29" spans="1:5" ht="12" customHeight="1" outlineLevel="1" x14ac:dyDescent="0.2">
      <c r="A29" s="158"/>
      <c r="B29" s="137" t="s">
        <v>266</v>
      </c>
      <c r="C29" s="122">
        <f>INT(D29/adatok!$F$9)</f>
        <v>3724225</v>
      </c>
      <c r="D29" s="153">
        <f>'Főállású oktatók'!F12</f>
        <v>52884</v>
      </c>
      <c r="E29" s="242"/>
    </row>
    <row r="30" spans="1:5" x14ac:dyDescent="0.2">
      <c r="A30" s="158" t="s">
        <v>281</v>
      </c>
      <c r="B30" s="119" t="s">
        <v>260</v>
      </c>
      <c r="C30" s="120">
        <f>INT(D30/adatok!$F$9)</f>
        <v>0</v>
      </c>
      <c r="D30" s="153">
        <f>'Utazási költségek'!B7</f>
        <v>0</v>
      </c>
      <c r="E30" s="242"/>
    </row>
    <row r="31" spans="1:5" x14ac:dyDescent="0.2">
      <c r="A31" s="158" t="s">
        <v>282</v>
      </c>
      <c r="B31" s="123" t="s">
        <v>257</v>
      </c>
      <c r="C31" s="124">
        <f>SUM(C32,C37)</f>
        <v>17610773</v>
      </c>
      <c r="D31" s="151">
        <f>SUM(D32,D37)</f>
        <v>250073</v>
      </c>
      <c r="E31" s="242"/>
    </row>
    <row r="32" spans="1:5" ht="12" customHeight="1" outlineLevel="1" x14ac:dyDescent="0.2">
      <c r="A32" s="158" t="s">
        <v>403</v>
      </c>
      <c r="B32" s="121" t="s">
        <v>67</v>
      </c>
      <c r="C32" s="122">
        <f>SUM(C33:C36)</f>
        <v>14780351</v>
      </c>
      <c r="D32" s="153">
        <f>SUM(D33:D36)</f>
        <v>209881</v>
      </c>
      <c r="E32" s="242"/>
    </row>
    <row r="33" spans="1:5" ht="12" customHeight="1" outlineLevel="1" x14ac:dyDescent="0.2">
      <c r="A33" s="158"/>
      <c r="B33" s="137" t="s">
        <v>375</v>
      </c>
      <c r="C33" s="122">
        <f>INT(D33/adatok!$F$9)</f>
        <v>0</v>
      </c>
      <c r="D33" s="153">
        <f>'Főállású oktatók'!F7</f>
        <v>0</v>
      </c>
      <c r="E33" s="242"/>
    </row>
    <row r="34" spans="1:5" s="215" customFormat="1" ht="12" customHeight="1" outlineLevel="1" x14ac:dyDescent="0.2">
      <c r="A34" s="214"/>
      <c r="B34" s="137" t="s">
        <v>376</v>
      </c>
      <c r="C34" s="122">
        <f>INT(D34/adatok!$F$9)</f>
        <v>0</v>
      </c>
      <c r="D34" s="153">
        <f>D33*adatok!$F$7</f>
        <v>0</v>
      </c>
      <c r="E34" s="242"/>
    </row>
    <row r="35" spans="1:5" ht="12" customHeight="1" outlineLevel="1" x14ac:dyDescent="0.2">
      <c r="A35" s="158"/>
      <c r="B35" s="137" t="s">
        <v>74</v>
      </c>
      <c r="C35" s="122">
        <f>INT(D35/adatok!$F$9)</f>
        <v>11728028</v>
      </c>
      <c r="D35" s="153">
        <f>'Társult órabéresek'!C5</f>
        <v>166538</v>
      </c>
      <c r="E35" s="242"/>
    </row>
    <row r="36" spans="1:5" ht="12" customHeight="1" outlineLevel="1" x14ac:dyDescent="0.2">
      <c r="A36" s="158"/>
      <c r="B36" s="137" t="s">
        <v>65</v>
      </c>
      <c r="C36" s="122">
        <f>INT(D36/adatok!$F$9)</f>
        <v>3052323</v>
      </c>
      <c r="D36" s="153">
        <f>Óraadók!C5</f>
        <v>43343</v>
      </c>
      <c r="E36" s="242"/>
    </row>
    <row r="37" spans="1:5" ht="12" customHeight="1" outlineLevel="1" x14ac:dyDescent="0.2">
      <c r="A37" s="158" t="s">
        <v>404</v>
      </c>
      <c r="B37" s="121" t="s">
        <v>68</v>
      </c>
      <c r="C37" s="122">
        <f>SUM(C38:C41)</f>
        <v>2830422</v>
      </c>
      <c r="D37" s="153">
        <f>SUM(D38:D41)</f>
        <v>40192</v>
      </c>
      <c r="E37" s="242"/>
    </row>
    <row r="38" spans="1:5" ht="12" customHeight="1" outlineLevel="1" x14ac:dyDescent="0.2">
      <c r="A38" s="158"/>
      <c r="B38" s="137" t="s">
        <v>66</v>
      </c>
      <c r="C38" s="122">
        <f>INT(D38/adatok!$F$9)</f>
        <v>0</v>
      </c>
      <c r="D38" s="153">
        <f>Kuratórium!D5</f>
        <v>0</v>
      </c>
      <c r="E38" s="242"/>
    </row>
    <row r="39" spans="1:5" ht="12" customHeight="1" outlineLevel="1" x14ac:dyDescent="0.2">
      <c r="A39" s="158"/>
      <c r="B39" s="137" t="s">
        <v>100</v>
      </c>
      <c r="C39" s="122">
        <f>INT(D39/adatok!$F$9)</f>
        <v>0</v>
      </c>
      <c r="D39" s="153">
        <f>Adminisztráció!D6</f>
        <v>0</v>
      </c>
      <c r="E39" s="242"/>
    </row>
    <row r="40" spans="1:5" s="215" customFormat="1" ht="12" customHeight="1" outlineLevel="1" x14ac:dyDescent="0.2">
      <c r="A40" s="214"/>
      <c r="B40" s="137" t="s">
        <v>378</v>
      </c>
      <c r="C40" s="122">
        <f>INT(D40/adatok!$F$9)</f>
        <v>0</v>
      </c>
      <c r="D40" s="153">
        <f>D39*adatok!$F$7</f>
        <v>0</v>
      </c>
      <c r="E40" s="242"/>
    </row>
    <row r="41" spans="1:5" ht="12" customHeight="1" outlineLevel="1" x14ac:dyDescent="0.2">
      <c r="A41" s="158"/>
      <c r="B41" s="137" t="s">
        <v>266</v>
      </c>
      <c r="C41" s="122">
        <f>INT(D41/adatok!$F$9)</f>
        <v>2830422</v>
      </c>
      <c r="D41" s="153">
        <f>'Főállású oktatók'!F13</f>
        <v>40192</v>
      </c>
      <c r="E41" s="242"/>
    </row>
    <row r="42" spans="1:5" x14ac:dyDescent="0.2">
      <c r="A42" s="158" t="s">
        <v>283</v>
      </c>
      <c r="B42" s="123" t="s">
        <v>3</v>
      </c>
      <c r="C42" s="124">
        <f>SUM(C43,C53,C54,C85,C86,C92,C93,C94,C97,C98)</f>
        <v>0</v>
      </c>
      <c r="D42" s="151">
        <f>SUM(D43,D53,D54,D85,D86,D92,D93,D94,D97,D98)</f>
        <v>0</v>
      </c>
      <c r="E42" s="242"/>
    </row>
    <row r="43" spans="1:5" x14ac:dyDescent="0.2">
      <c r="A43" s="158" t="s">
        <v>284</v>
      </c>
      <c r="B43" s="119" t="s">
        <v>134</v>
      </c>
      <c r="C43" s="120">
        <f>SUM(C44,C49,C50,C51,C52)</f>
        <v>0</v>
      </c>
      <c r="D43" s="152">
        <f>'Dologi kiadások'!B3</f>
        <v>0</v>
      </c>
      <c r="E43" s="242"/>
    </row>
    <row r="44" spans="1:5" ht="12" customHeight="1" x14ac:dyDescent="0.2">
      <c r="A44" s="158" t="s">
        <v>285</v>
      </c>
      <c r="B44" s="121" t="s">
        <v>9</v>
      </c>
      <c r="C44" s="122">
        <f>SUM(C45:C48)</f>
        <v>0</v>
      </c>
      <c r="D44" s="152">
        <f>'Dologi kiadások'!B4</f>
        <v>0</v>
      </c>
      <c r="E44" s="242"/>
    </row>
    <row r="45" spans="1:5" ht="12" customHeight="1" outlineLevel="1" x14ac:dyDescent="0.2">
      <c r="A45" s="158"/>
      <c r="B45" s="137" t="s">
        <v>32</v>
      </c>
      <c r="C45" s="122">
        <f>INT(D45/adatok!$F$9)</f>
        <v>0</v>
      </c>
      <c r="D45" s="152">
        <f>'Dologi kiadások'!B5</f>
        <v>0</v>
      </c>
      <c r="E45" s="242"/>
    </row>
    <row r="46" spans="1:5" ht="12" customHeight="1" outlineLevel="1" x14ac:dyDescent="0.2">
      <c r="A46" s="158"/>
      <c r="B46" s="137" t="s">
        <v>69</v>
      </c>
      <c r="C46" s="122">
        <f>INT(D46/adatok!$F$9)</f>
        <v>0</v>
      </c>
      <c r="D46" s="152">
        <f>'Dologi kiadások'!B6</f>
        <v>0</v>
      </c>
      <c r="E46" s="242"/>
    </row>
    <row r="47" spans="1:5" ht="12" customHeight="1" outlineLevel="1" x14ac:dyDescent="0.2">
      <c r="A47" s="158"/>
      <c r="B47" s="137" t="s">
        <v>33</v>
      </c>
      <c r="C47" s="122">
        <f>INT(D47/adatok!$F$9)</f>
        <v>0</v>
      </c>
      <c r="D47" s="152">
        <f>'Dologi kiadások'!B7</f>
        <v>0</v>
      </c>
      <c r="E47" s="242"/>
    </row>
    <row r="48" spans="1:5" ht="12" customHeight="1" outlineLevel="1" x14ac:dyDescent="0.2">
      <c r="A48" s="158"/>
      <c r="B48" s="137" t="s">
        <v>70</v>
      </c>
      <c r="C48" s="122">
        <f>INT(D48/adatok!$F$9)</f>
        <v>0</v>
      </c>
      <c r="D48" s="152">
        <f>'Dologi kiadások'!B8</f>
        <v>0</v>
      </c>
      <c r="E48" s="242"/>
    </row>
    <row r="49" spans="1:5" ht="12" customHeight="1" x14ac:dyDescent="0.2">
      <c r="A49" s="158" t="s">
        <v>286</v>
      </c>
      <c r="B49" s="121" t="s">
        <v>10</v>
      </c>
      <c r="C49" s="122">
        <f>INT(D49/adatok!$F$9)</f>
        <v>0</v>
      </c>
      <c r="D49" s="152">
        <f>'Dologi kiadások'!B9</f>
        <v>0</v>
      </c>
      <c r="E49" s="242"/>
    </row>
    <row r="50" spans="1:5" ht="12" customHeight="1" x14ac:dyDescent="0.2">
      <c r="A50" s="158" t="s">
        <v>287</v>
      </c>
      <c r="B50" s="121" t="s">
        <v>11</v>
      </c>
      <c r="C50" s="122">
        <f>INT(D50/adatok!$F$9)</f>
        <v>0</v>
      </c>
      <c r="D50" s="152">
        <f>'Dologi kiadások'!B10</f>
        <v>0</v>
      </c>
      <c r="E50" s="242"/>
    </row>
    <row r="51" spans="1:5" ht="12" customHeight="1" x14ac:dyDescent="0.2">
      <c r="A51" s="158" t="s">
        <v>288</v>
      </c>
      <c r="B51" s="121" t="s">
        <v>29</v>
      </c>
      <c r="C51" s="122">
        <f>INT(D51/adatok!$F$9)</f>
        <v>0</v>
      </c>
      <c r="D51" s="152">
        <f>'Dologi kiadások'!B11</f>
        <v>0</v>
      </c>
      <c r="E51" s="242"/>
    </row>
    <row r="52" spans="1:5" ht="12" customHeight="1" x14ac:dyDescent="0.2">
      <c r="A52" s="158" t="s">
        <v>289</v>
      </c>
      <c r="B52" s="121" t="s">
        <v>12</v>
      </c>
      <c r="C52" s="122">
        <f>INT(D52/adatok!$F$9)</f>
        <v>0</v>
      </c>
      <c r="D52" s="152">
        <f>'Dologi kiadások'!B12</f>
        <v>0</v>
      </c>
      <c r="E52" s="242"/>
    </row>
    <row r="53" spans="1:5" x14ac:dyDescent="0.2">
      <c r="A53" s="158" t="s">
        <v>290</v>
      </c>
      <c r="B53" s="119" t="s">
        <v>4</v>
      </c>
      <c r="C53" s="120">
        <f>INT(D53/adatok!$F$9)</f>
        <v>0</v>
      </c>
      <c r="D53" s="152">
        <f>'Dologi kiadások'!B13</f>
        <v>0</v>
      </c>
      <c r="E53" s="242"/>
    </row>
    <row r="54" spans="1:5" x14ac:dyDescent="0.2">
      <c r="A54" s="158" t="s">
        <v>291</v>
      </c>
      <c r="B54" s="119" t="s">
        <v>5</v>
      </c>
      <c r="C54" s="120">
        <f>SUM(C55,C56,C57,C62,C66,C70,C82,C83,C84)</f>
        <v>0</v>
      </c>
      <c r="D54" s="152">
        <f>'Dologi kiadások'!B14</f>
        <v>0</v>
      </c>
      <c r="E54" s="242"/>
    </row>
    <row r="55" spans="1:5" ht="12" customHeight="1" x14ac:dyDescent="0.2">
      <c r="A55" s="158" t="s">
        <v>292</v>
      </c>
      <c r="B55" s="121" t="s">
        <v>13</v>
      </c>
      <c r="C55" s="122">
        <f>INT(D55/adatok!$F$9)</f>
        <v>0</v>
      </c>
      <c r="D55" s="152">
        <f>'Dologi kiadások'!B15</f>
        <v>0</v>
      </c>
      <c r="E55" s="242"/>
    </row>
    <row r="56" spans="1:5" ht="12" customHeight="1" x14ac:dyDescent="0.2">
      <c r="A56" s="158" t="s">
        <v>293</v>
      </c>
      <c r="B56" s="121" t="s">
        <v>51</v>
      </c>
      <c r="C56" s="122">
        <f>INT(D56/adatok!$F$9)</f>
        <v>0</v>
      </c>
      <c r="D56" s="152">
        <f>'Dologi kiadások'!B16</f>
        <v>0</v>
      </c>
      <c r="E56" s="242"/>
    </row>
    <row r="57" spans="1:5" ht="12" customHeight="1" x14ac:dyDescent="0.2">
      <c r="A57" s="158" t="s">
        <v>294</v>
      </c>
      <c r="B57" s="121" t="s">
        <v>14</v>
      </c>
      <c r="C57" s="122">
        <f>SUM(C58:C61)</f>
        <v>0</v>
      </c>
      <c r="D57" s="152">
        <f>'Dologi kiadások'!B17</f>
        <v>0</v>
      </c>
      <c r="E57" s="242"/>
    </row>
    <row r="58" spans="1:5" ht="12" customHeight="1" outlineLevel="1" x14ac:dyDescent="0.2">
      <c r="A58" s="158"/>
      <c r="B58" s="137" t="s">
        <v>16</v>
      </c>
      <c r="C58" s="122">
        <f>INT(D58/adatok!$F$9)</f>
        <v>0</v>
      </c>
      <c r="D58" s="152">
        <f>'Dologi kiadások'!B18</f>
        <v>0</v>
      </c>
      <c r="E58" s="242"/>
    </row>
    <row r="59" spans="1:5" ht="12" customHeight="1" outlineLevel="1" x14ac:dyDescent="0.2">
      <c r="A59" s="158"/>
      <c r="B59" s="137" t="s">
        <v>17</v>
      </c>
      <c r="C59" s="122">
        <f>INT(D59/adatok!$F$9)</f>
        <v>0</v>
      </c>
      <c r="D59" s="152">
        <f>'Dologi kiadások'!B19</f>
        <v>0</v>
      </c>
      <c r="E59" s="242"/>
    </row>
    <row r="60" spans="1:5" ht="12" customHeight="1" outlineLevel="1" x14ac:dyDescent="0.2">
      <c r="A60" s="158"/>
      <c r="B60" s="137" t="s">
        <v>18</v>
      </c>
      <c r="C60" s="122">
        <f>INT(D60/adatok!$F$9)</f>
        <v>0</v>
      </c>
      <c r="D60" s="152">
        <f>'Dologi kiadások'!B20</f>
        <v>0</v>
      </c>
      <c r="E60" s="242"/>
    </row>
    <row r="61" spans="1:5" ht="12" customHeight="1" outlineLevel="1" x14ac:dyDescent="0.2">
      <c r="A61" s="158"/>
      <c r="B61" s="137" t="s">
        <v>19</v>
      </c>
      <c r="C61" s="122">
        <f>INT(D61/adatok!$F$9)</f>
        <v>0</v>
      </c>
      <c r="D61" s="152">
        <f>'Dologi kiadások'!B21</f>
        <v>0</v>
      </c>
      <c r="E61" s="242"/>
    </row>
    <row r="62" spans="1:5" x14ac:dyDescent="0.2">
      <c r="A62" s="158" t="s">
        <v>295</v>
      </c>
      <c r="B62" s="121" t="s">
        <v>31</v>
      </c>
      <c r="C62" s="122">
        <f>SUM(C63:C65)</f>
        <v>0</v>
      </c>
      <c r="D62" s="152">
        <f>'Dologi kiadások'!B22</f>
        <v>0</v>
      </c>
      <c r="E62" s="242"/>
    </row>
    <row r="63" spans="1:5" ht="12" customHeight="1" outlineLevel="1" x14ac:dyDescent="0.2">
      <c r="A63" s="158"/>
      <c r="B63" s="137" t="s">
        <v>71</v>
      </c>
      <c r="C63" s="122">
        <f>INT(D63/adatok!$F$9)</f>
        <v>0</v>
      </c>
      <c r="D63" s="152">
        <f>'Dologi kiadások'!B23</f>
        <v>0</v>
      </c>
      <c r="E63" s="242"/>
    </row>
    <row r="64" spans="1:5" ht="12" customHeight="1" outlineLevel="1" x14ac:dyDescent="0.2">
      <c r="A64" s="158"/>
      <c r="B64" s="137" t="s">
        <v>30</v>
      </c>
      <c r="C64" s="122">
        <f>INT(D64/adatok!$F$9)</f>
        <v>0</v>
      </c>
      <c r="D64" s="152">
        <f>'Dologi kiadások'!B24</f>
        <v>0</v>
      </c>
      <c r="E64" s="242"/>
    </row>
    <row r="65" spans="1:5" ht="12" customHeight="1" outlineLevel="1" x14ac:dyDescent="0.2">
      <c r="A65" s="158"/>
      <c r="B65" s="137" t="s">
        <v>19</v>
      </c>
      <c r="C65" s="122">
        <f>INT(D65/adatok!$F$9)</f>
        <v>0</v>
      </c>
      <c r="D65" s="152">
        <f>'Dologi kiadások'!B25</f>
        <v>0</v>
      </c>
      <c r="E65" s="242"/>
    </row>
    <row r="66" spans="1:5" ht="12" customHeight="1" x14ac:dyDescent="0.2">
      <c r="A66" s="158" t="s">
        <v>296</v>
      </c>
      <c r="B66" s="121" t="s">
        <v>15</v>
      </c>
      <c r="C66" s="122">
        <f>SUM(C67:C69)</f>
        <v>0</v>
      </c>
      <c r="D66" s="152">
        <f>'Dologi kiadások'!B26</f>
        <v>0</v>
      </c>
      <c r="E66" s="242"/>
    </row>
    <row r="67" spans="1:5" ht="12" customHeight="1" outlineLevel="1" x14ac:dyDescent="0.2">
      <c r="A67" s="158"/>
      <c r="B67" s="137" t="s">
        <v>20</v>
      </c>
      <c r="C67" s="122">
        <f>INT(D67/adatok!$F$9)</f>
        <v>0</v>
      </c>
      <c r="D67" s="152">
        <f>'Dologi kiadások'!B27</f>
        <v>0</v>
      </c>
      <c r="E67" s="242"/>
    </row>
    <row r="68" spans="1:5" ht="12" customHeight="1" outlineLevel="1" x14ac:dyDescent="0.2">
      <c r="A68" s="158"/>
      <c r="B68" s="137" t="s">
        <v>21</v>
      </c>
      <c r="C68" s="122">
        <f>INT(D68/adatok!$F$9)</f>
        <v>0</v>
      </c>
      <c r="D68" s="152">
        <f>'Dologi kiadások'!B28</f>
        <v>0</v>
      </c>
      <c r="E68" s="242"/>
    </row>
    <row r="69" spans="1:5" ht="12" customHeight="1" outlineLevel="1" x14ac:dyDescent="0.2">
      <c r="A69" s="158"/>
      <c r="B69" s="137" t="s">
        <v>22</v>
      </c>
      <c r="C69" s="122">
        <f>INT(D69/adatok!$F$9)</f>
        <v>0</v>
      </c>
      <c r="D69" s="152">
        <f>'Dologi kiadások'!B29</f>
        <v>0</v>
      </c>
      <c r="E69" s="242"/>
    </row>
    <row r="70" spans="1:5" ht="12" customHeight="1" x14ac:dyDescent="0.2">
      <c r="A70" s="158" t="s">
        <v>297</v>
      </c>
      <c r="B70" s="121" t="s">
        <v>82</v>
      </c>
      <c r="C70" s="122">
        <f>SUM(C71:C81)</f>
        <v>0</v>
      </c>
      <c r="D70" s="152">
        <f>'Dologi kiadások'!B30</f>
        <v>0</v>
      </c>
      <c r="E70" s="242"/>
    </row>
    <row r="71" spans="1:5" ht="12" customHeight="1" outlineLevel="1" x14ac:dyDescent="0.2">
      <c r="A71" s="158"/>
      <c r="B71" s="137" t="s">
        <v>23</v>
      </c>
      <c r="C71" s="122">
        <f>INT(D71/adatok!$F$9)</f>
        <v>0</v>
      </c>
      <c r="D71" s="152">
        <f>'Dologi kiadások'!B31</f>
        <v>0</v>
      </c>
      <c r="E71" s="242"/>
    </row>
    <row r="72" spans="1:5" ht="12" customHeight="1" outlineLevel="1" x14ac:dyDescent="0.2">
      <c r="A72" s="158"/>
      <c r="B72" s="137" t="s">
        <v>24</v>
      </c>
      <c r="C72" s="122">
        <f>INT(D72/adatok!$F$9)</f>
        <v>0</v>
      </c>
      <c r="D72" s="152">
        <f>'Dologi kiadások'!B32</f>
        <v>0</v>
      </c>
      <c r="E72" s="242"/>
    </row>
    <row r="73" spans="1:5" ht="12" customHeight="1" outlineLevel="1" x14ac:dyDescent="0.2">
      <c r="A73" s="158"/>
      <c r="B73" s="137" t="s">
        <v>78</v>
      </c>
      <c r="C73" s="122">
        <f>INT(D73/adatok!$F$9)</f>
        <v>0</v>
      </c>
      <c r="D73" s="152">
        <f>'Dologi kiadások'!B33</f>
        <v>0</v>
      </c>
      <c r="E73" s="242"/>
    </row>
    <row r="74" spans="1:5" ht="12" customHeight="1" outlineLevel="1" x14ac:dyDescent="0.2">
      <c r="A74" s="158"/>
      <c r="B74" s="137" t="s">
        <v>25</v>
      </c>
      <c r="C74" s="122">
        <f>INT(D74/adatok!$F$9)</f>
        <v>0</v>
      </c>
      <c r="D74" s="152">
        <f>'Dologi kiadások'!B34</f>
        <v>0</v>
      </c>
      <c r="E74" s="242"/>
    </row>
    <row r="75" spans="1:5" ht="12" customHeight="1" outlineLevel="1" x14ac:dyDescent="0.2">
      <c r="A75" s="158"/>
      <c r="B75" s="137" t="s">
        <v>26</v>
      </c>
      <c r="C75" s="122">
        <f>INT(D75/adatok!$F$9)</f>
        <v>0</v>
      </c>
      <c r="D75" s="152">
        <f>'Dologi kiadások'!B35</f>
        <v>0</v>
      </c>
      <c r="E75" s="242"/>
    </row>
    <row r="76" spans="1:5" ht="12" customHeight="1" outlineLevel="1" x14ac:dyDescent="0.2">
      <c r="A76" s="158"/>
      <c r="B76" s="137" t="s">
        <v>27</v>
      </c>
      <c r="C76" s="122">
        <f>INT(D76/adatok!$F$9)</f>
        <v>0</v>
      </c>
      <c r="D76" s="152">
        <f>'Dologi kiadások'!B36</f>
        <v>0</v>
      </c>
      <c r="E76" s="242"/>
    </row>
    <row r="77" spans="1:5" ht="12" customHeight="1" outlineLevel="1" x14ac:dyDescent="0.2">
      <c r="A77" s="158"/>
      <c r="B77" s="137" t="s">
        <v>28</v>
      </c>
      <c r="C77" s="122">
        <f>INT(D77/adatok!$F$9)</f>
        <v>0</v>
      </c>
      <c r="D77" s="152">
        <f>'Dologi kiadások'!B37</f>
        <v>0</v>
      </c>
      <c r="E77" s="242"/>
    </row>
    <row r="78" spans="1:5" ht="12" customHeight="1" outlineLevel="1" x14ac:dyDescent="0.2">
      <c r="A78" s="158"/>
      <c r="B78" s="137" t="s">
        <v>273</v>
      </c>
      <c r="C78" s="122">
        <f>INT(D78/adatok!$F$9)</f>
        <v>0</v>
      </c>
      <c r="D78" s="152">
        <f>'Dologi kiadások'!B38</f>
        <v>0</v>
      </c>
      <c r="E78" s="242"/>
    </row>
    <row r="79" spans="1:5" ht="12" customHeight="1" outlineLevel="1" x14ac:dyDescent="0.2">
      <c r="A79" s="158"/>
      <c r="B79" s="137" t="s">
        <v>149</v>
      </c>
      <c r="C79" s="122">
        <f>INT(D79/adatok!$F$9)</f>
        <v>0</v>
      </c>
      <c r="D79" s="152">
        <f>'Dologi kiadások'!B39</f>
        <v>0</v>
      </c>
      <c r="E79" s="242"/>
    </row>
    <row r="80" spans="1:5" ht="12" customHeight="1" outlineLevel="1" x14ac:dyDescent="0.2">
      <c r="A80" s="158"/>
      <c r="B80" s="137" t="s">
        <v>267</v>
      </c>
      <c r="C80" s="122">
        <f>INT(D80/adatok!$F$9)</f>
        <v>0</v>
      </c>
      <c r="D80" s="152">
        <f>'Dologi kiadások'!B40</f>
        <v>0</v>
      </c>
      <c r="E80" s="242"/>
    </row>
    <row r="81" spans="1:5" ht="12" customHeight="1" outlineLevel="1" x14ac:dyDescent="0.2">
      <c r="A81" s="158"/>
      <c r="B81" s="137" t="s">
        <v>270</v>
      </c>
      <c r="C81" s="122">
        <f>INT(D81/adatok!$F$9)</f>
        <v>0</v>
      </c>
      <c r="D81" s="152">
        <f>'Dologi kiadások'!B41</f>
        <v>0</v>
      </c>
      <c r="E81" s="242"/>
    </row>
    <row r="82" spans="1:5" ht="12" customHeight="1" x14ac:dyDescent="0.2">
      <c r="A82" s="158" t="s">
        <v>298</v>
      </c>
      <c r="B82" s="121" t="s">
        <v>52</v>
      </c>
      <c r="C82" s="122">
        <f>INT(D82/adatok!$F$9)</f>
        <v>0</v>
      </c>
      <c r="D82" s="152">
        <f>'Dologi kiadások'!B42</f>
        <v>0</v>
      </c>
      <c r="E82" s="242"/>
    </row>
    <row r="83" spans="1:5" s="148" customFormat="1" ht="12" customHeight="1" x14ac:dyDescent="0.2">
      <c r="A83" s="159" t="s">
        <v>299</v>
      </c>
      <c r="B83" s="121" t="s">
        <v>274</v>
      </c>
      <c r="C83" s="122">
        <f>INT(D83/adatok!$F$9)</f>
        <v>0</v>
      </c>
      <c r="D83" s="152">
        <f>'Dologi kiadások'!B43</f>
        <v>0</v>
      </c>
      <c r="E83" s="242"/>
    </row>
    <row r="84" spans="1:5" ht="12" customHeight="1" x14ac:dyDescent="0.2">
      <c r="A84" s="158" t="s">
        <v>300</v>
      </c>
      <c r="B84" s="121" t="s">
        <v>34</v>
      </c>
      <c r="C84" s="122">
        <f>INT(D84/adatok!$F$9)</f>
        <v>0</v>
      </c>
      <c r="D84" s="152">
        <f>'Dologi kiadások'!B44</f>
        <v>0</v>
      </c>
      <c r="E84" s="242"/>
    </row>
    <row r="85" spans="1:5" x14ac:dyDescent="0.2">
      <c r="A85" s="158" t="s">
        <v>301</v>
      </c>
      <c r="B85" s="119" t="s">
        <v>262</v>
      </c>
      <c r="C85" s="120">
        <f>INT(D85/adatok!$F$9)</f>
        <v>0</v>
      </c>
      <c r="D85" s="152">
        <f>'Dologi kiadások'!B45</f>
        <v>0</v>
      </c>
      <c r="E85" s="242"/>
    </row>
    <row r="86" spans="1:5" x14ac:dyDescent="0.2">
      <c r="A86" s="158" t="s">
        <v>302</v>
      </c>
      <c r="B86" s="119" t="s">
        <v>150</v>
      </c>
      <c r="C86" s="120">
        <f>SUM(C87:C91)</f>
        <v>0</v>
      </c>
      <c r="D86" s="152">
        <f>'Dologi kiadások'!B46</f>
        <v>0</v>
      </c>
      <c r="E86" s="242"/>
    </row>
    <row r="87" spans="1:5" ht="12" customHeight="1" outlineLevel="1" x14ac:dyDescent="0.2">
      <c r="A87" s="158" t="s">
        <v>339</v>
      </c>
      <c r="B87" s="121" t="s">
        <v>144</v>
      </c>
      <c r="C87" s="122">
        <f>INT(D87/adatok!$F$9)</f>
        <v>0</v>
      </c>
      <c r="D87" s="152">
        <f>'Dologi kiadások'!B47</f>
        <v>0</v>
      </c>
      <c r="E87" s="242"/>
    </row>
    <row r="88" spans="1:5" ht="12" customHeight="1" outlineLevel="1" x14ac:dyDescent="0.2">
      <c r="A88" s="158" t="s">
        <v>304</v>
      </c>
      <c r="B88" s="121" t="s">
        <v>145</v>
      </c>
      <c r="C88" s="122">
        <f>INT(D88/adatok!$F$9)</f>
        <v>0</v>
      </c>
      <c r="D88" s="152">
        <f>'Dologi kiadások'!B48</f>
        <v>0</v>
      </c>
      <c r="E88" s="242"/>
    </row>
    <row r="89" spans="1:5" s="148" customFormat="1" ht="12" customHeight="1" outlineLevel="1" x14ac:dyDescent="0.2">
      <c r="A89" s="159" t="s">
        <v>305</v>
      </c>
      <c r="B89" s="121" t="s">
        <v>271</v>
      </c>
      <c r="C89" s="122">
        <f>INT(D89/adatok!$F$9)</f>
        <v>0</v>
      </c>
      <c r="D89" s="152">
        <f>'Dologi kiadások'!B49</f>
        <v>0</v>
      </c>
      <c r="E89" s="242"/>
    </row>
    <row r="90" spans="1:5" s="148" customFormat="1" ht="12" customHeight="1" outlineLevel="1" x14ac:dyDescent="0.2">
      <c r="A90" s="159" t="s">
        <v>306</v>
      </c>
      <c r="B90" s="121" t="s">
        <v>261</v>
      </c>
      <c r="C90" s="122">
        <f>INT(D90/adatok!$F$9)</f>
        <v>0</v>
      </c>
      <c r="D90" s="152">
        <f>'Dologi kiadások'!B50</f>
        <v>0</v>
      </c>
      <c r="E90" s="242"/>
    </row>
    <row r="91" spans="1:5" ht="12" customHeight="1" outlineLevel="1" x14ac:dyDescent="0.2">
      <c r="A91" s="158" t="s">
        <v>307</v>
      </c>
      <c r="B91" s="121" t="s">
        <v>146</v>
      </c>
      <c r="C91" s="122">
        <f>INT(D91/adatok!$F$9)</f>
        <v>0</v>
      </c>
      <c r="D91" s="152">
        <f>'Dologi kiadások'!B51</f>
        <v>0</v>
      </c>
      <c r="E91" s="242"/>
    </row>
    <row r="92" spans="1:5" s="149" customFormat="1" x14ac:dyDescent="0.2">
      <c r="A92" s="158" t="s">
        <v>303</v>
      </c>
      <c r="B92" s="119" t="s">
        <v>269</v>
      </c>
      <c r="C92" s="122">
        <f>INT(D92/adatok!$F$9)</f>
        <v>0</v>
      </c>
      <c r="D92" s="152">
        <f>'Dologi kiadások'!B52</f>
        <v>0</v>
      </c>
      <c r="E92" s="242"/>
    </row>
    <row r="93" spans="1:5" s="149" customFormat="1" x14ac:dyDescent="0.2">
      <c r="A93" s="158" t="s">
        <v>308</v>
      </c>
      <c r="B93" s="119" t="s">
        <v>272</v>
      </c>
      <c r="C93" s="122">
        <f>INT(D93/adatok!$F$9)</f>
        <v>0</v>
      </c>
      <c r="D93" s="152">
        <f>'Dologi kiadások'!B53</f>
        <v>0</v>
      </c>
      <c r="E93" s="242"/>
    </row>
    <row r="94" spans="1:5" x14ac:dyDescent="0.2">
      <c r="A94" s="158" t="s">
        <v>309</v>
      </c>
      <c r="B94" s="119" t="s">
        <v>6</v>
      </c>
      <c r="C94" s="120">
        <f>C95+C96</f>
        <v>0</v>
      </c>
      <c r="D94" s="152">
        <f>'Dologi kiadások'!B54</f>
        <v>0</v>
      </c>
      <c r="E94" s="242"/>
    </row>
    <row r="95" spans="1:5" ht="12" customHeight="1" outlineLevel="1" x14ac:dyDescent="0.2">
      <c r="A95" s="158"/>
      <c r="B95" s="121" t="s">
        <v>268</v>
      </c>
      <c r="C95" s="122">
        <f>INT(D95/adatok!$F$9)</f>
        <v>0</v>
      </c>
      <c r="D95" s="152">
        <f>'Dologi kiadások'!B55</f>
        <v>0</v>
      </c>
      <c r="E95" s="242"/>
    </row>
    <row r="96" spans="1:5" ht="12" customHeight="1" outlineLevel="1" x14ac:dyDescent="0.2">
      <c r="A96" s="158"/>
      <c r="B96" s="121" t="s">
        <v>80</v>
      </c>
      <c r="C96" s="122">
        <f>INT(D96/adatok!$F$9)</f>
        <v>0</v>
      </c>
      <c r="D96" s="152">
        <f>'Dologi kiadások'!B56</f>
        <v>0</v>
      </c>
      <c r="E96" s="242"/>
    </row>
    <row r="97" spans="1:5" x14ac:dyDescent="0.2">
      <c r="A97" s="158" t="s">
        <v>310</v>
      </c>
      <c r="B97" s="119" t="s">
        <v>7</v>
      </c>
      <c r="C97" s="120">
        <f>INT(D97/adatok!$F$9)</f>
        <v>0</v>
      </c>
      <c r="D97" s="152">
        <f>'Dologi kiadások'!B57</f>
        <v>0</v>
      </c>
      <c r="E97" s="242"/>
    </row>
    <row r="98" spans="1:5" x14ac:dyDescent="0.2">
      <c r="A98" s="158" t="s">
        <v>311</v>
      </c>
      <c r="B98" s="119" t="s">
        <v>8</v>
      </c>
      <c r="C98" s="120">
        <f>INT(D98/adatok!$F$9)</f>
        <v>0</v>
      </c>
      <c r="D98" s="152">
        <f>'Dologi kiadások'!B58</f>
        <v>0</v>
      </c>
      <c r="E98" s="242"/>
    </row>
    <row r="99" spans="1:5" x14ac:dyDescent="0.2">
      <c r="A99" s="158" t="s">
        <v>312</v>
      </c>
      <c r="B99" s="123" t="s">
        <v>46</v>
      </c>
      <c r="C99" s="124">
        <f>SUM(C100:C103)+C119</f>
        <v>0</v>
      </c>
      <c r="D99" s="151">
        <f>INT(C99*adatok!$F$9)</f>
        <v>0</v>
      </c>
      <c r="E99" s="242"/>
    </row>
    <row r="100" spans="1:5" x14ac:dyDescent="0.2">
      <c r="A100" s="158" t="s">
        <v>313</v>
      </c>
      <c r="B100" s="119" t="s">
        <v>263</v>
      </c>
      <c r="C100" s="120"/>
      <c r="D100" s="152">
        <f>'Felhalmozási kiadások'!B4</f>
        <v>0</v>
      </c>
      <c r="E100" s="242"/>
    </row>
    <row r="101" spans="1:5" x14ac:dyDescent="0.2">
      <c r="A101" s="158" t="s">
        <v>314</v>
      </c>
      <c r="B101" s="119" t="s">
        <v>264</v>
      </c>
      <c r="C101" s="120"/>
      <c r="D101" s="152">
        <f>'Felhalmozási kiadások'!B5</f>
        <v>0</v>
      </c>
      <c r="E101" s="242"/>
    </row>
    <row r="102" spans="1:5" x14ac:dyDescent="0.2">
      <c r="A102" s="158" t="s">
        <v>315</v>
      </c>
      <c r="B102" s="119" t="s">
        <v>265</v>
      </c>
      <c r="C102" s="120"/>
      <c r="D102" s="152">
        <f>'Felhalmozási kiadások'!B6</f>
        <v>0</v>
      </c>
      <c r="E102" s="242"/>
    </row>
    <row r="103" spans="1:5" x14ac:dyDescent="0.2">
      <c r="A103" s="158" t="s">
        <v>316</v>
      </c>
      <c r="B103" s="119" t="s">
        <v>87</v>
      </c>
      <c r="C103" s="120"/>
      <c r="D103" s="152">
        <f>'Felhalmozási kiadások'!B7</f>
        <v>0</v>
      </c>
      <c r="E103" s="242"/>
    </row>
    <row r="104" spans="1:5" x14ac:dyDescent="0.2">
      <c r="A104" s="158" t="s">
        <v>317</v>
      </c>
      <c r="B104" s="123" t="s">
        <v>239</v>
      </c>
      <c r="C104" s="124">
        <f>INT(D104/adatok!$F$9)</f>
        <v>0</v>
      </c>
      <c r="D104" s="151">
        <f>'kutatási projektek'!C22</f>
        <v>0</v>
      </c>
      <c r="E104" s="242"/>
    </row>
    <row r="105" spans="1:5" x14ac:dyDescent="0.2">
      <c r="A105" s="158" t="s">
        <v>318</v>
      </c>
      <c r="B105" s="123" t="s">
        <v>253</v>
      </c>
      <c r="C105" s="124">
        <f>INT(D105/adatok!$F$9)</f>
        <v>0</v>
      </c>
      <c r="D105" s="151">
        <f>szolgáltatások!D3</f>
        <v>0</v>
      </c>
      <c r="E105" s="242"/>
    </row>
    <row r="106" spans="1:5" x14ac:dyDescent="0.2">
      <c r="A106" s="158" t="s">
        <v>361</v>
      </c>
      <c r="B106" s="123" t="s">
        <v>362</v>
      </c>
      <c r="C106" s="124">
        <f>INT(D106/adatok!$F$9)</f>
        <v>0</v>
      </c>
      <c r="D106" s="151"/>
      <c r="E106" s="242"/>
    </row>
    <row r="107" spans="1:5" collapsed="1" x14ac:dyDescent="0.2">
      <c r="A107" s="158"/>
      <c r="B107" s="123" t="s">
        <v>53</v>
      </c>
      <c r="C107" s="124">
        <f>SUM(C7,C31,C42,C104,C105,C99,C106)</f>
        <v>94876616</v>
      </c>
      <c r="D107" s="151">
        <f>SUM(D7,D31,D42,D104,D105,D99,D106)</f>
        <v>1347248</v>
      </c>
      <c r="E107" s="242"/>
    </row>
    <row r="108" spans="1:5" x14ac:dyDescent="0.2">
      <c r="B108" s="125"/>
      <c r="C108" s="126"/>
      <c r="D108" s="127"/>
      <c r="E108" s="128"/>
    </row>
    <row r="109" spans="1:5" x14ac:dyDescent="0.2">
      <c r="B109" s="147" t="s">
        <v>247</v>
      </c>
      <c r="C109" s="303"/>
      <c r="D109" s="303"/>
    </row>
    <row r="110" spans="1:5" x14ac:dyDescent="0.2">
      <c r="A110" s="8" t="s">
        <v>319</v>
      </c>
      <c r="B110" s="123" t="s">
        <v>88</v>
      </c>
      <c r="C110" s="124">
        <f>C111+C116+C118</f>
        <v>0</v>
      </c>
      <c r="D110" s="151">
        <f>D111+D116+D118</f>
        <v>0</v>
      </c>
    </row>
    <row r="111" spans="1:5" x14ac:dyDescent="0.2">
      <c r="A111" s="8" t="s">
        <v>320</v>
      </c>
      <c r="B111" s="119" t="s">
        <v>54</v>
      </c>
      <c r="C111" s="120">
        <f>SUM(C112:C115)</f>
        <v>0</v>
      </c>
      <c r="D111" s="152">
        <f>SUM(D112:D115)</f>
        <v>0</v>
      </c>
    </row>
    <row r="112" spans="1:5" ht="12" customHeight="1" outlineLevel="1" x14ac:dyDescent="0.2">
      <c r="B112" s="121" t="s">
        <v>55</v>
      </c>
      <c r="C112" s="122">
        <f>INT(D112/adatok!$F$9)</f>
        <v>0</v>
      </c>
      <c r="D112" s="154"/>
    </row>
    <row r="113" spans="1:4" ht="12" customHeight="1" outlineLevel="1" x14ac:dyDescent="0.2">
      <c r="B113" s="121" t="s">
        <v>242</v>
      </c>
      <c r="C113" s="122">
        <f>INT(D113/adatok!$F$9)</f>
        <v>0</v>
      </c>
      <c r="D113" s="154"/>
    </row>
    <row r="114" spans="1:4" ht="12" customHeight="1" outlineLevel="1" x14ac:dyDescent="0.2">
      <c r="B114" s="121" t="s">
        <v>243</v>
      </c>
      <c r="C114" s="122">
        <f>INT(D114/adatok!$F$9)</f>
        <v>0</v>
      </c>
      <c r="D114" s="154"/>
    </row>
    <row r="115" spans="1:4" ht="12" customHeight="1" outlineLevel="1" x14ac:dyDescent="0.2">
      <c r="B115" s="121" t="s">
        <v>56</v>
      </c>
      <c r="C115" s="122">
        <f>INT(D115/adatok!$F$9)</f>
        <v>0</v>
      </c>
      <c r="D115" s="154"/>
    </row>
    <row r="116" spans="1:4" x14ac:dyDescent="0.2">
      <c r="A116" s="8" t="s">
        <v>321</v>
      </c>
      <c r="B116" s="119" t="s">
        <v>57</v>
      </c>
      <c r="C116" s="122">
        <f>INT(D116/adatok!$F$9)</f>
        <v>0</v>
      </c>
      <c r="D116" s="155"/>
    </row>
    <row r="117" spans="1:4" x14ac:dyDescent="0.2">
      <c r="A117" s="8" t="s">
        <v>322</v>
      </c>
      <c r="B117" s="119" t="s">
        <v>255</v>
      </c>
      <c r="C117" s="120">
        <f>INT(D117/adatok!$F$9)</f>
        <v>0</v>
      </c>
      <c r="D117" s="155"/>
    </row>
    <row r="118" spans="1:4" x14ac:dyDescent="0.2">
      <c r="A118" s="8" t="s">
        <v>323</v>
      </c>
      <c r="B118" s="119" t="s">
        <v>58</v>
      </c>
      <c r="C118" s="120">
        <f>INT(D118/adatok!$F$9)</f>
        <v>0</v>
      </c>
      <c r="D118" s="155"/>
    </row>
    <row r="119" spans="1:4" x14ac:dyDescent="0.2">
      <c r="A119" s="8" t="s">
        <v>324</v>
      </c>
      <c r="B119" s="123" t="s">
        <v>250</v>
      </c>
      <c r="C119" s="124">
        <f>SUM(C120:C122)</f>
        <v>0</v>
      </c>
      <c r="D119" s="151">
        <f>SUM(D120:D122)</f>
        <v>0</v>
      </c>
    </row>
    <row r="120" spans="1:4" x14ac:dyDescent="0.2">
      <c r="A120" s="8" t="s">
        <v>325</v>
      </c>
      <c r="B120" s="119" t="s">
        <v>85</v>
      </c>
      <c r="C120" s="120">
        <f>INT(D120/adatok!$F$9)</f>
        <v>0</v>
      </c>
      <c r="D120" s="155"/>
    </row>
    <row r="121" spans="1:4" x14ac:dyDescent="0.2">
      <c r="A121" s="8" t="s">
        <v>326</v>
      </c>
      <c r="B121" s="119" t="s">
        <v>59</v>
      </c>
      <c r="C121" s="120"/>
      <c r="D121" s="156">
        <f>INT(C121*adatok!$F$9)</f>
        <v>0</v>
      </c>
    </row>
    <row r="122" spans="1:4" x14ac:dyDescent="0.2">
      <c r="A122" s="8" t="s">
        <v>327</v>
      </c>
      <c r="B122" s="119" t="s">
        <v>60</v>
      </c>
      <c r="C122" s="120">
        <f>INT(D122/adatok!$F$9)</f>
        <v>0</v>
      </c>
      <c r="D122" s="155"/>
    </row>
    <row r="123" spans="1:4" x14ac:dyDescent="0.2">
      <c r="A123" s="8" t="s">
        <v>328</v>
      </c>
      <c r="B123" s="123" t="s">
        <v>244</v>
      </c>
      <c r="C123" s="124">
        <f>SUM(C124:C125)</f>
        <v>0</v>
      </c>
      <c r="D123" s="151">
        <f>SUM(D124:D125)</f>
        <v>0</v>
      </c>
    </row>
    <row r="124" spans="1:4" x14ac:dyDescent="0.2">
      <c r="B124" s="119" t="s">
        <v>338</v>
      </c>
      <c r="C124" s="120">
        <f>INT(D124/adatok!$F$9)</f>
        <v>0</v>
      </c>
      <c r="D124" s="155"/>
    </row>
    <row r="125" spans="1:4" x14ac:dyDescent="0.2">
      <c r="B125" s="119" t="s">
        <v>248</v>
      </c>
      <c r="C125" s="120">
        <f>INT(D125/adatok!$F$9)</f>
        <v>0</v>
      </c>
      <c r="D125" s="155"/>
    </row>
    <row r="126" spans="1:4" x14ac:dyDescent="0.2">
      <c r="A126" s="8" t="s">
        <v>329</v>
      </c>
      <c r="B126" s="123" t="s">
        <v>86</v>
      </c>
      <c r="C126" s="124">
        <f>INT(D126/adatok!$F$9)</f>
        <v>0</v>
      </c>
      <c r="D126" s="157"/>
    </row>
    <row r="127" spans="1:4" x14ac:dyDescent="0.2">
      <c r="A127" s="8" t="s">
        <v>330</v>
      </c>
      <c r="B127" s="123" t="s">
        <v>252</v>
      </c>
      <c r="C127" s="124">
        <f>INT(D127/adatok!$F$9)</f>
        <v>0</v>
      </c>
      <c r="D127" s="151">
        <f>'kutatási projektek'!C32-'kutatási projektek'!C24</f>
        <v>0</v>
      </c>
    </row>
    <row r="128" spans="1:4" x14ac:dyDescent="0.2">
      <c r="A128" s="8" t="s">
        <v>331</v>
      </c>
      <c r="B128" s="123" t="s">
        <v>254</v>
      </c>
      <c r="C128" s="124">
        <f>INT(D128/adatok!$F$9)</f>
        <v>0</v>
      </c>
      <c r="D128" s="151">
        <f>szolgáltatások!D5-szolgáltatások!D4</f>
        <v>0</v>
      </c>
    </row>
    <row r="129" spans="1:6" x14ac:dyDescent="0.2">
      <c r="B129" s="123" t="s">
        <v>218</v>
      </c>
      <c r="C129" s="124">
        <f>C106</f>
        <v>0</v>
      </c>
      <c r="D129" s="151">
        <f>D106</f>
        <v>0</v>
      </c>
    </row>
    <row r="130" spans="1:6" x14ac:dyDescent="0.2">
      <c r="A130" s="8" t="s">
        <v>332</v>
      </c>
      <c r="B130" s="123" t="s">
        <v>251</v>
      </c>
      <c r="C130" s="124">
        <f>INT(D130/adatok!$F$9)</f>
        <v>0</v>
      </c>
      <c r="D130" s="157"/>
    </row>
    <row r="131" spans="1:6" x14ac:dyDescent="0.2">
      <c r="B131" s="123" t="s">
        <v>249</v>
      </c>
      <c r="C131" s="124">
        <f>C110+C119+C123+C126+C127+C128+C130+C129</f>
        <v>0</v>
      </c>
      <c r="D131" s="151">
        <f>D110+D119+D123+D126+D127+D128+D130+D129</f>
        <v>0</v>
      </c>
      <c r="E131" s="243"/>
      <c r="F131" s="128"/>
    </row>
    <row r="132" spans="1:6" ht="18.75" customHeight="1" x14ac:dyDescent="0.2"/>
    <row r="133" spans="1:6" x14ac:dyDescent="0.2">
      <c r="B133" s="3" t="s">
        <v>62</v>
      </c>
      <c r="C133" s="150"/>
      <c r="D133" s="164"/>
    </row>
    <row r="134" spans="1:6" x14ac:dyDescent="0.2">
      <c r="B134" s="3" t="s">
        <v>63</v>
      </c>
      <c r="C134" s="150"/>
      <c r="D134" s="169">
        <f>'Társult órabéresek'!B186+Óraadók!B145+'Vendégelőadók HU'!C37</f>
        <v>189</v>
      </c>
    </row>
    <row r="135" spans="1:6" x14ac:dyDescent="0.2">
      <c r="B135" s="3" t="s">
        <v>64</v>
      </c>
      <c r="C135" s="150"/>
      <c r="D135" s="169">
        <f>D136+D137</f>
        <v>156</v>
      </c>
    </row>
    <row r="136" spans="1:6" x14ac:dyDescent="0.2">
      <c r="B136" s="3" t="s">
        <v>147</v>
      </c>
      <c r="C136" s="150"/>
      <c r="D136" s="169">
        <f>'Főállású oktatók'!C117</f>
        <v>90</v>
      </c>
    </row>
    <row r="137" spans="1:6" x14ac:dyDescent="0.2">
      <c r="B137" s="3" t="s">
        <v>148</v>
      </c>
      <c r="C137" s="150"/>
      <c r="D137" s="169">
        <f>Adminisztráció!B150</f>
        <v>66</v>
      </c>
    </row>
    <row r="139" spans="1:6" x14ac:dyDescent="0.2">
      <c r="C139" s="150"/>
    </row>
    <row r="140" spans="1:6" x14ac:dyDescent="0.2">
      <c r="C140" s="302"/>
      <c r="D140" s="302"/>
    </row>
    <row r="141" spans="1:6" x14ac:dyDescent="0.2">
      <c r="B141" s="129"/>
      <c r="C141" s="130"/>
    </row>
    <row r="142" spans="1:6" x14ac:dyDescent="0.2">
      <c r="B142" s="129"/>
      <c r="C142" s="130"/>
    </row>
  </sheetData>
  <sheetProtection selectLockedCells="1"/>
  <mergeCells count="5">
    <mergeCell ref="B2:D2"/>
    <mergeCell ref="B4:D4"/>
    <mergeCell ref="C6:D6"/>
    <mergeCell ref="C109:D109"/>
    <mergeCell ref="C140:D140"/>
  </mergeCells>
  <conditionalFormatting sqref="E7:E107">
    <cfRule type="cellIs" dxfId="0" priority="1" operator="greaterThan">
      <formula>10</formula>
    </cfRule>
  </conditionalFormatting>
  <dataValidations count="2">
    <dataValidation type="list" allowBlank="1" showInputMessage="1" showErrorMessage="1" errorTitle="Hiba" error="Érvénytelen adat!" sqref="B2:D2">
      <formula1>egységek</formula1>
    </dataValidation>
    <dataValidation type="list" allowBlank="1" showInputMessage="1" showErrorMessage="1" errorTitle="Hiba" error="Érvénytelen adat!" sqref="B3">
      <formula1>$B$150:$B$150</formula1>
    </dataValidation>
  </dataValidations>
  <pageMargins left="2.7165354330708662" right="0.74803149606299213" top="0.69" bottom="0.19685039370078741" header="0.47244094488188981" footer="0.62992125984251968"/>
  <pageSetup paperSize="8" orientation="portrait" r:id="rId1"/>
  <headerFooter alignWithMargins="0">
    <oddHeader>&amp;LKöltségvetés - Összesítő tábla&amp;R&amp;D, &amp;T</oddHeader>
    <oddFooter>&amp;Lmunkaanyag, bizalmas&amp;R&amp;F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workbookViewId="0">
      <pane xSplit="1" ySplit="15" topLeftCell="B90" activePane="bottomRight" state="frozen"/>
      <selection activeCell="Z9" sqref="Z9:AA9"/>
      <selection pane="topRight" activeCell="Z9" sqref="Z9:AA9"/>
      <selection pane="bottomLeft" activeCell="Z9" sqref="Z9:AA9"/>
      <selection pane="bottomRight" activeCell="Z9" sqref="Z9:AA9"/>
    </sheetView>
  </sheetViews>
  <sheetFormatPr defaultColWidth="9.140625" defaultRowHeight="11.25" x14ac:dyDescent="0.2"/>
  <cols>
    <col min="1" max="1" width="35" style="12" customWidth="1"/>
    <col min="2" max="2" width="18.85546875" style="12" bestFit="1" customWidth="1"/>
    <col min="3" max="3" width="27" style="12" customWidth="1"/>
    <col min="4" max="4" width="11" style="12" customWidth="1"/>
    <col min="5" max="5" width="8.5703125" style="12" customWidth="1"/>
    <col min="6" max="9" width="10.42578125" style="12" customWidth="1"/>
    <col min="10" max="10" width="9.140625" style="12"/>
    <col min="11" max="11" width="8.140625" style="13" bestFit="1" customWidth="1"/>
    <col min="12" max="12" width="3.85546875" style="12" customWidth="1"/>
    <col min="13" max="13" width="12.140625" style="12" customWidth="1"/>
    <col min="14" max="14" width="10.28515625" style="12" bestFit="1" customWidth="1"/>
    <col min="15" max="16384" width="9.140625" style="12"/>
  </cols>
  <sheetData>
    <row r="1" spans="1:12" s="3" customFormat="1" ht="12.75" x14ac:dyDescent="0.2">
      <c r="A1" s="304" t="str">
        <f>Összesítő!B2</f>
        <v>EMTE - Marosvásárhelyi kar</v>
      </c>
      <c r="B1" s="305"/>
      <c r="C1" s="305"/>
      <c r="D1" s="305"/>
      <c r="E1" s="305"/>
      <c r="K1" s="4"/>
    </row>
    <row r="2" spans="1:12" s="3" customFormat="1" ht="12.75" x14ac:dyDescent="0.2">
      <c r="A2" s="171"/>
      <c r="B2" s="171"/>
      <c r="C2" s="171"/>
      <c r="D2" s="171"/>
      <c r="E2" s="171"/>
      <c r="K2" s="170"/>
    </row>
    <row r="3" spans="1:12" s="86" customFormat="1" ht="12.75" customHeight="1" thickBot="1" x14ac:dyDescent="0.25">
      <c r="A3" s="109" t="s">
        <v>89</v>
      </c>
      <c r="B3" s="109"/>
      <c r="C3" s="113" t="s">
        <v>383</v>
      </c>
      <c r="D3" s="113"/>
      <c r="E3" s="113"/>
      <c r="F3" s="113" t="s">
        <v>220</v>
      </c>
      <c r="H3" s="111"/>
      <c r="J3" s="112"/>
    </row>
    <row r="4" spans="1:12" ht="12.75" customHeight="1" thickTop="1" x14ac:dyDescent="0.2">
      <c r="A4" s="306" t="s">
        <v>379</v>
      </c>
      <c r="B4" s="52" t="s">
        <v>380</v>
      </c>
      <c r="C4" s="31"/>
      <c r="D4" s="31"/>
      <c r="E4" s="31"/>
      <c r="F4" s="221">
        <f>SUMPRODUCT($F$16:$F$116,$J$16:$J$116)</f>
        <v>0</v>
      </c>
      <c r="G4" s="56"/>
      <c r="H4" s="57"/>
      <c r="J4" s="13"/>
      <c r="K4" s="12"/>
    </row>
    <row r="5" spans="1:12" ht="12.75" customHeight="1" x14ac:dyDescent="0.2">
      <c r="A5" s="307"/>
      <c r="B5" s="52" t="s">
        <v>72</v>
      </c>
      <c r="C5" s="31"/>
      <c r="D5" s="31"/>
      <c r="E5" s="31"/>
      <c r="F5" s="221">
        <f>SUMPRODUCT($G$16:$G$116,$J$16:$J$116)</f>
        <v>0</v>
      </c>
      <c r="G5" s="56"/>
      <c r="H5" s="57"/>
      <c r="J5" s="13"/>
      <c r="K5" s="12"/>
    </row>
    <row r="6" spans="1:12" ht="12.75" customHeight="1" x14ac:dyDescent="0.2">
      <c r="A6" s="307"/>
      <c r="B6" s="52" t="s">
        <v>381</v>
      </c>
      <c r="C6" s="31"/>
      <c r="D6" s="31"/>
      <c r="E6" s="31"/>
      <c r="F6" s="221">
        <f>SUMPRODUCT($H$16:$H$116,$J$16:$J$116)</f>
        <v>0</v>
      </c>
      <c r="G6" s="56"/>
      <c r="H6" s="58"/>
      <c r="J6" s="13"/>
      <c r="K6" s="12"/>
    </row>
    <row r="7" spans="1:12" ht="12.75" customHeight="1" x14ac:dyDescent="0.2">
      <c r="A7" s="307"/>
      <c r="B7" s="52" t="s">
        <v>382</v>
      </c>
      <c r="C7" s="31"/>
      <c r="D7" s="31"/>
      <c r="E7" s="31"/>
      <c r="F7" s="221">
        <f>SUMPRODUCT($I$16:$I$116,$J$16:$J$116)</f>
        <v>0</v>
      </c>
      <c r="H7" s="58"/>
      <c r="J7" s="13"/>
      <c r="K7" s="12"/>
    </row>
    <row r="8" spans="1:12" ht="12.75" customHeight="1" x14ac:dyDescent="0.2">
      <c r="A8" s="307" t="s">
        <v>399</v>
      </c>
      <c r="B8" s="52" t="s">
        <v>380</v>
      </c>
      <c r="C8" s="31"/>
      <c r="D8" s="31"/>
      <c r="E8" s="31"/>
      <c r="F8" s="221">
        <f>INT(G8*70%)</f>
        <v>0</v>
      </c>
      <c r="G8" s="221">
        <f>VLOOKUP(A1,évente,3, FALSE)</f>
        <v>0</v>
      </c>
      <c r="H8" s="58"/>
      <c r="J8" s="13"/>
      <c r="K8" s="12"/>
    </row>
    <row r="9" spans="1:12" ht="12" customHeight="1" x14ac:dyDescent="0.2">
      <c r="A9" s="307"/>
      <c r="B9" s="52" t="s">
        <v>381</v>
      </c>
      <c r="C9" s="31"/>
      <c r="D9" s="31"/>
      <c r="E9" s="31"/>
      <c r="F9" s="221">
        <f>G8-F8</f>
        <v>0</v>
      </c>
      <c r="G9" s="56"/>
      <c r="H9" s="56"/>
      <c r="I9" s="33"/>
      <c r="J9" s="13"/>
      <c r="K9" s="12"/>
    </row>
    <row r="10" spans="1:12" ht="12.75" customHeight="1" x14ac:dyDescent="0.2">
      <c r="A10" s="307"/>
      <c r="B10" s="52" t="s">
        <v>382</v>
      </c>
      <c r="C10" s="31"/>
      <c r="D10" s="31"/>
      <c r="E10" s="31"/>
      <c r="F10" s="221">
        <f>ROUNDUP(G8*adókulcs,0)</f>
        <v>0</v>
      </c>
      <c r="G10" s="56"/>
      <c r="H10" s="56"/>
      <c r="I10" s="33"/>
      <c r="J10" s="13"/>
      <c r="K10" s="12"/>
    </row>
    <row r="11" spans="1:12" ht="12.75" customHeight="1" x14ac:dyDescent="0.2">
      <c r="A11" s="308" t="s">
        <v>400</v>
      </c>
      <c r="B11" s="52" t="s">
        <v>380</v>
      </c>
      <c r="C11" s="31"/>
      <c r="D11" s="31"/>
      <c r="E11" s="31"/>
      <c r="F11" s="221">
        <f>INT(G11*70%)</f>
        <v>123396</v>
      </c>
      <c r="G11" s="221">
        <f>VLOOKUP(A1,évente,2, FALSE)</f>
        <v>176280</v>
      </c>
      <c r="H11" s="56"/>
      <c r="I11" s="33"/>
      <c r="J11" s="162"/>
      <c r="K11" s="12"/>
    </row>
    <row r="12" spans="1:12" ht="12.75" customHeight="1" x14ac:dyDescent="0.2">
      <c r="A12" s="308"/>
      <c r="B12" s="52" t="s">
        <v>381</v>
      </c>
      <c r="C12" s="31"/>
      <c r="D12" s="31"/>
      <c r="E12" s="31"/>
      <c r="F12" s="221">
        <f>G11-F11</f>
        <v>52884</v>
      </c>
      <c r="G12" s="56"/>
      <c r="H12" s="56"/>
      <c r="I12" s="33"/>
      <c r="J12" s="162"/>
      <c r="K12" s="12"/>
    </row>
    <row r="13" spans="1:12" ht="12.75" customHeight="1" x14ac:dyDescent="0.2">
      <c r="A13" s="308"/>
      <c r="B13" s="52" t="s">
        <v>382</v>
      </c>
      <c r="C13" s="31"/>
      <c r="D13" s="31"/>
      <c r="E13" s="31"/>
      <c r="F13" s="221">
        <f>ROUNDUP(G11*adókulcs,0)</f>
        <v>40192</v>
      </c>
      <c r="G13" s="56"/>
      <c r="H13" s="56"/>
      <c r="I13" s="33"/>
      <c r="J13" s="162"/>
      <c r="K13" s="12"/>
    </row>
    <row r="14" spans="1:12" ht="13.5" customHeight="1" x14ac:dyDescent="0.2">
      <c r="L14" s="34"/>
    </row>
    <row r="15" spans="1:12" s="33" customFormat="1" ht="33.75" x14ac:dyDescent="0.2">
      <c r="A15" s="172" t="s">
        <v>96</v>
      </c>
      <c r="B15" s="172" t="s">
        <v>95</v>
      </c>
      <c r="C15" s="172" t="s">
        <v>94</v>
      </c>
      <c r="D15" s="172" t="s">
        <v>386</v>
      </c>
      <c r="E15" s="172" t="s">
        <v>384</v>
      </c>
      <c r="F15" s="172" t="s">
        <v>385</v>
      </c>
      <c r="G15" s="172" t="s">
        <v>90</v>
      </c>
      <c r="H15" s="219" t="s">
        <v>92</v>
      </c>
      <c r="I15" s="219" t="s">
        <v>91</v>
      </c>
      <c r="J15" s="219" t="s">
        <v>93</v>
      </c>
      <c r="K15" s="162"/>
    </row>
    <row r="16" spans="1:12" x14ac:dyDescent="0.2">
      <c r="A16" s="216" t="s">
        <v>407</v>
      </c>
      <c r="B16" s="216" t="s">
        <v>188</v>
      </c>
      <c r="C16" s="216" t="s">
        <v>498</v>
      </c>
      <c r="D16" s="220"/>
      <c r="E16" s="217"/>
      <c r="F16" s="53">
        <f>ROUNDUP(E16*70%,0)</f>
        <v>0</v>
      </c>
      <c r="G16" s="53">
        <f t="shared" ref="G16:G47" si="0">IF(E16=0,0,IF(D16="főállású",ebédjegy*munkanapok,0))</f>
        <v>0</v>
      </c>
      <c r="H16" s="53">
        <f t="shared" ref="H16:H47" si="1">E16-F16</f>
        <v>0</v>
      </c>
      <c r="I16" s="53">
        <f t="shared" ref="I16:I48" si="2">ROUNDUP(E16*adókulcs,0)</f>
        <v>0</v>
      </c>
      <c r="J16" s="218">
        <v>13</v>
      </c>
      <c r="K16" s="12"/>
    </row>
    <row r="17" spans="1:11" x14ac:dyDescent="0.2">
      <c r="A17" s="216" t="s">
        <v>408</v>
      </c>
      <c r="B17" s="216" t="s">
        <v>188</v>
      </c>
      <c r="C17" s="216" t="s">
        <v>498</v>
      </c>
      <c r="D17" s="220"/>
      <c r="E17" s="217"/>
      <c r="F17" s="53">
        <f t="shared" ref="F17:F81" si="3">ROUNDUP(E17*70%,0)</f>
        <v>0</v>
      </c>
      <c r="G17" s="53">
        <f t="shared" si="0"/>
        <v>0</v>
      </c>
      <c r="H17" s="53">
        <f t="shared" si="1"/>
        <v>0</v>
      </c>
      <c r="I17" s="53">
        <f t="shared" si="2"/>
        <v>0</v>
      </c>
      <c r="J17" s="218">
        <v>13</v>
      </c>
      <c r="K17" s="12"/>
    </row>
    <row r="18" spans="1:11" x14ac:dyDescent="0.2">
      <c r="A18" s="216" t="s">
        <v>409</v>
      </c>
      <c r="B18" s="216" t="s">
        <v>188</v>
      </c>
      <c r="C18" s="216" t="s">
        <v>498</v>
      </c>
      <c r="D18" s="220"/>
      <c r="E18" s="217"/>
      <c r="F18" s="53">
        <f t="shared" si="3"/>
        <v>0</v>
      </c>
      <c r="G18" s="53">
        <f t="shared" si="0"/>
        <v>0</v>
      </c>
      <c r="H18" s="53">
        <f t="shared" si="1"/>
        <v>0</v>
      </c>
      <c r="I18" s="53">
        <f t="shared" si="2"/>
        <v>0</v>
      </c>
      <c r="J18" s="218">
        <v>13</v>
      </c>
      <c r="K18" s="12"/>
    </row>
    <row r="19" spans="1:11" x14ac:dyDescent="0.2">
      <c r="A19" s="216" t="s">
        <v>410</v>
      </c>
      <c r="B19" s="216" t="s">
        <v>188</v>
      </c>
      <c r="C19" s="216" t="s">
        <v>498</v>
      </c>
      <c r="D19" s="220"/>
      <c r="E19" s="217"/>
      <c r="F19" s="53">
        <f t="shared" ref="F19" si="4">ROUNDUP(E19*70%,0)</f>
        <v>0</v>
      </c>
      <c r="G19" s="53">
        <f t="shared" si="0"/>
        <v>0</v>
      </c>
      <c r="H19" s="53">
        <f t="shared" si="1"/>
        <v>0</v>
      </c>
      <c r="I19" s="53">
        <f t="shared" ref="I19" si="5">ROUNDUP(E19*adókulcs,0)</f>
        <v>0</v>
      </c>
      <c r="J19" s="218">
        <v>13</v>
      </c>
      <c r="K19" s="12"/>
    </row>
    <row r="20" spans="1:11" x14ac:dyDescent="0.2">
      <c r="A20" s="216" t="s">
        <v>411</v>
      </c>
      <c r="B20" s="216" t="s">
        <v>497</v>
      </c>
      <c r="C20" s="216" t="s">
        <v>498</v>
      </c>
      <c r="D20" s="220"/>
      <c r="E20" s="217"/>
      <c r="F20" s="53">
        <f t="shared" si="3"/>
        <v>0</v>
      </c>
      <c r="G20" s="53">
        <f t="shared" si="0"/>
        <v>0</v>
      </c>
      <c r="H20" s="53">
        <f t="shared" si="1"/>
        <v>0</v>
      </c>
      <c r="I20" s="53">
        <f t="shared" si="2"/>
        <v>0</v>
      </c>
      <c r="J20" s="218">
        <v>13</v>
      </c>
      <c r="K20" s="12"/>
    </row>
    <row r="21" spans="1:11" x14ac:dyDescent="0.2">
      <c r="A21" s="216" t="s">
        <v>412</v>
      </c>
      <c r="B21" s="216" t="s">
        <v>497</v>
      </c>
      <c r="C21" s="216" t="s">
        <v>498</v>
      </c>
      <c r="D21" s="220"/>
      <c r="E21" s="217"/>
      <c r="F21" s="53">
        <f t="shared" si="3"/>
        <v>0</v>
      </c>
      <c r="G21" s="53">
        <f t="shared" si="0"/>
        <v>0</v>
      </c>
      <c r="H21" s="53">
        <f t="shared" si="1"/>
        <v>0</v>
      </c>
      <c r="I21" s="53">
        <f t="shared" si="2"/>
        <v>0</v>
      </c>
      <c r="J21" s="218">
        <v>13</v>
      </c>
      <c r="K21" s="12"/>
    </row>
    <row r="22" spans="1:11" x14ac:dyDescent="0.2">
      <c r="A22" s="216" t="s">
        <v>413</v>
      </c>
      <c r="B22" s="216" t="s">
        <v>497</v>
      </c>
      <c r="C22" s="216" t="s">
        <v>498</v>
      </c>
      <c r="D22" s="220"/>
      <c r="E22" s="217"/>
      <c r="F22" s="53">
        <f t="shared" si="3"/>
        <v>0</v>
      </c>
      <c r="G22" s="53">
        <f t="shared" si="0"/>
        <v>0</v>
      </c>
      <c r="H22" s="53">
        <f t="shared" si="1"/>
        <v>0</v>
      </c>
      <c r="I22" s="53">
        <f t="shared" si="2"/>
        <v>0</v>
      </c>
      <c r="J22" s="218">
        <v>13</v>
      </c>
      <c r="K22" s="12"/>
    </row>
    <row r="23" spans="1:11" x14ac:dyDescent="0.2">
      <c r="A23" s="216" t="s">
        <v>414</v>
      </c>
      <c r="B23" s="216" t="s">
        <v>497</v>
      </c>
      <c r="C23" s="216" t="s">
        <v>498</v>
      </c>
      <c r="D23" s="220"/>
      <c r="E23" s="217"/>
      <c r="F23" s="53">
        <f t="shared" si="3"/>
        <v>0</v>
      </c>
      <c r="G23" s="53">
        <f t="shared" si="0"/>
        <v>0</v>
      </c>
      <c r="H23" s="53">
        <f t="shared" si="1"/>
        <v>0</v>
      </c>
      <c r="I23" s="53">
        <f t="shared" si="2"/>
        <v>0</v>
      </c>
      <c r="J23" s="218">
        <v>13</v>
      </c>
      <c r="K23" s="12"/>
    </row>
    <row r="24" spans="1:11" x14ac:dyDescent="0.2">
      <c r="A24" s="216" t="s">
        <v>415</v>
      </c>
      <c r="B24" s="216" t="s">
        <v>497</v>
      </c>
      <c r="C24" s="216" t="s">
        <v>498</v>
      </c>
      <c r="D24" s="220"/>
      <c r="E24" s="217"/>
      <c r="F24" s="53">
        <f t="shared" ref="F24" si="6">ROUNDUP(E24*70%,0)</f>
        <v>0</v>
      </c>
      <c r="G24" s="53">
        <f t="shared" si="0"/>
        <v>0</v>
      </c>
      <c r="H24" s="53">
        <f t="shared" si="1"/>
        <v>0</v>
      </c>
      <c r="I24" s="53">
        <f t="shared" ref="I24" si="7">ROUNDUP(E24*adókulcs,0)</f>
        <v>0</v>
      </c>
      <c r="J24" s="218">
        <v>13</v>
      </c>
      <c r="K24" s="12"/>
    </row>
    <row r="25" spans="1:11" x14ac:dyDescent="0.2">
      <c r="A25" s="254" t="s">
        <v>416</v>
      </c>
      <c r="B25" s="216" t="s">
        <v>497</v>
      </c>
      <c r="C25" s="216" t="s">
        <v>498</v>
      </c>
      <c r="D25" s="220"/>
      <c r="E25" s="217"/>
      <c r="F25" s="53">
        <f t="shared" si="3"/>
        <v>0</v>
      </c>
      <c r="G25" s="53">
        <f t="shared" si="0"/>
        <v>0</v>
      </c>
      <c r="H25" s="53">
        <f t="shared" si="1"/>
        <v>0</v>
      </c>
      <c r="I25" s="53">
        <f t="shared" si="2"/>
        <v>0</v>
      </c>
      <c r="J25" s="218">
        <v>13</v>
      </c>
      <c r="K25" s="12"/>
    </row>
    <row r="26" spans="1:11" x14ac:dyDescent="0.2">
      <c r="A26" s="216" t="s">
        <v>417</v>
      </c>
      <c r="B26" s="216" t="s">
        <v>183</v>
      </c>
      <c r="C26" s="216" t="s">
        <v>498</v>
      </c>
      <c r="D26" s="220"/>
      <c r="E26" s="217"/>
      <c r="F26" s="53">
        <f t="shared" si="3"/>
        <v>0</v>
      </c>
      <c r="G26" s="53">
        <f t="shared" si="0"/>
        <v>0</v>
      </c>
      <c r="H26" s="53">
        <f t="shared" si="1"/>
        <v>0</v>
      </c>
      <c r="I26" s="53">
        <f t="shared" si="2"/>
        <v>0</v>
      </c>
      <c r="J26" s="218">
        <v>13</v>
      </c>
      <c r="K26" s="12"/>
    </row>
    <row r="27" spans="1:11" x14ac:dyDescent="0.2">
      <c r="A27" s="216" t="s">
        <v>418</v>
      </c>
      <c r="B27" s="216" t="s">
        <v>183</v>
      </c>
      <c r="C27" s="216" t="s">
        <v>498</v>
      </c>
      <c r="D27" s="220"/>
      <c r="E27" s="217"/>
      <c r="F27" s="53">
        <f t="shared" si="3"/>
        <v>0</v>
      </c>
      <c r="G27" s="53">
        <f t="shared" si="0"/>
        <v>0</v>
      </c>
      <c r="H27" s="53">
        <f t="shared" si="1"/>
        <v>0</v>
      </c>
      <c r="I27" s="53">
        <f t="shared" si="2"/>
        <v>0</v>
      </c>
      <c r="J27" s="218">
        <v>13</v>
      </c>
      <c r="K27" s="12"/>
    </row>
    <row r="28" spans="1:11" x14ac:dyDescent="0.2">
      <c r="A28" s="216" t="s">
        <v>419</v>
      </c>
      <c r="B28" s="216" t="s">
        <v>352</v>
      </c>
      <c r="C28" s="216" t="s">
        <v>499</v>
      </c>
      <c r="D28" s="220"/>
      <c r="E28" s="217"/>
      <c r="F28" s="53">
        <f t="shared" si="3"/>
        <v>0</v>
      </c>
      <c r="G28" s="53">
        <f t="shared" si="0"/>
        <v>0</v>
      </c>
      <c r="H28" s="53">
        <f t="shared" si="1"/>
        <v>0</v>
      </c>
      <c r="I28" s="53">
        <f t="shared" si="2"/>
        <v>0</v>
      </c>
      <c r="J28" s="218">
        <v>13</v>
      </c>
      <c r="K28" s="12"/>
    </row>
    <row r="29" spans="1:11" x14ac:dyDescent="0.2">
      <c r="A29" s="216" t="s">
        <v>420</v>
      </c>
      <c r="B29" s="216" t="s">
        <v>352</v>
      </c>
      <c r="C29" s="216" t="s">
        <v>499</v>
      </c>
      <c r="D29" s="220"/>
      <c r="E29" s="217"/>
      <c r="F29" s="53">
        <f t="shared" si="3"/>
        <v>0</v>
      </c>
      <c r="G29" s="53">
        <f t="shared" si="0"/>
        <v>0</v>
      </c>
      <c r="H29" s="53">
        <f t="shared" si="1"/>
        <v>0</v>
      </c>
      <c r="I29" s="53">
        <f t="shared" si="2"/>
        <v>0</v>
      </c>
      <c r="J29" s="218">
        <v>13</v>
      </c>
      <c r="K29" s="12"/>
    </row>
    <row r="30" spans="1:11" x14ac:dyDescent="0.2">
      <c r="A30" s="247" t="s">
        <v>421</v>
      </c>
      <c r="B30" s="216" t="s">
        <v>188</v>
      </c>
      <c r="C30" s="216" t="s">
        <v>499</v>
      </c>
      <c r="D30" s="220"/>
      <c r="E30" s="217"/>
      <c r="F30" s="53">
        <f t="shared" si="3"/>
        <v>0</v>
      </c>
      <c r="G30" s="53">
        <f t="shared" si="0"/>
        <v>0</v>
      </c>
      <c r="H30" s="53">
        <f t="shared" si="1"/>
        <v>0</v>
      </c>
      <c r="I30" s="53">
        <f t="shared" si="2"/>
        <v>0</v>
      </c>
      <c r="J30" s="218">
        <v>13</v>
      </c>
      <c r="K30" s="12"/>
    </row>
    <row r="31" spans="1:11" x14ac:dyDescent="0.2">
      <c r="A31" s="216" t="s">
        <v>422</v>
      </c>
      <c r="B31" s="216" t="s">
        <v>497</v>
      </c>
      <c r="C31" s="216" t="s">
        <v>499</v>
      </c>
      <c r="D31" s="220"/>
      <c r="E31" s="217"/>
      <c r="F31" s="53">
        <f t="shared" si="3"/>
        <v>0</v>
      </c>
      <c r="G31" s="53">
        <f t="shared" si="0"/>
        <v>0</v>
      </c>
      <c r="H31" s="53">
        <f t="shared" si="1"/>
        <v>0</v>
      </c>
      <c r="I31" s="53">
        <f t="shared" si="2"/>
        <v>0</v>
      </c>
      <c r="J31" s="218">
        <v>13</v>
      </c>
      <c r="K31" s="12"/>
    </row>
    <row r="32" spans="1:11" x14ac:dyDescent="0.2">
      <c r="A32" s="216" t="s">
        <v>423</v>
      </c>
      <c r="B32" s="216" t="s">
        <v>497</v>
      </c>
      <c r="C32" s="216" t="s">
        <v>499</v>
      </c>
      <c r="D32" s="220"/>
      <c r="E32" s="217"/>
      <c r="F32" s="53">
        <f t="shared" si="3"/>
        <v>0</v>
      </c>
      <c r="G32" s="53">
        <f t="shared" si="0"/>
        <v>0</v>
      </c>
      <c r="H32" s="53">
        <f t="shared" si="1"/>
        <v>0</v>
      </c>
      <c r="I32" s="53">
        <f t="shared" si="2"/>
        <v>0</v>
      </c>
      <c r="J32" s="218">
        <v>13</v>
      </c>
      <c r="K32" s="12"/>
    </row>
    <row r="33" spans="1:11" x14ac:dyDescent="0.2">
      <c r="A33" s="216" t="s">
        <v>424</v>
      </c>
      <c r="B33" s="216" t="s">
        <v>497</v>
      </c>
      <c r="C33" s="216" t="s">
        <v>499</v>
      </c>
      <c r="D33" s="220"/>
      <c r="E33" s="217"/>
      <c r="F33" s="53">
        <f t="shared" si="3"/>
        <v>0</v>
      </c>
      <c r="G33" s="53">
        <f t="shared" si="0"/>
        <v>0</v>
      </c>
      <c r="H33" s="53">
        <f t="shared" si="1"/>
        <v>0</v>
      </c>
      <c r="I33" s="53">
        <f t="shared" si="2"/>
        <v>0</v>
      </c>
      <c r="J33" s="218">
        <v>13</v>
      </c>
      <c r="K33" s="12"/>
    </row>
    <row r="34" spans="1:11" x14ac:dyDescent="0.2">
      <c r="A34" s="216" t="s">
        <v>425</v>
      </c>
      <c r="B34" s="216" t="s">
        <v>497</v>
      </c>
      <c r="C34" s="216" t="s">
        <v>499</v>
      </c>
      <c r="D34" s="220"/>
      <c r="E34" s="217"/>
      <c r="F34" s="53">
        <f t="shared" si="3"/>
        <v>0</v>
      </c>
      <c r="G34" s="53">
        <f t="shared" si="0"/>
        <v>0</v>
      </c>
      <c r="H34" s="53">
        <f t="shared" si="1"/>
        <v>0</v>
      </c>
      <c r="I34" s="53">
        <f t="shared" si="2"/>
        <v>0</v>
      </c>
      <c r="J34" s="218">
        <v>13</v>
      </c>
      <c r="K34" s="12"/>
    </row>
    <row r="35" spans="1:11" x14ac:dyDescent="0.2">
      <c r="A35" s="216" t="s">
        <v>426</v>
      </c>
      <c r="B35" s="216" t="s">
        <v>497</v>
      </c>
      <c r="C35" s="216" t="s">
        <v>499</v>
      </c>
      <c r="D35" s="220"/>
      <c r="E35" s="217"/>
      <c r="F35" s="53">
        <f t="shared" si="3"/>
        <v>0</v>
      </c>
      <c r="G35" s="53">
        <f t="shared" si="0"/>
        <v>0</v>
      </c>
      <c r="H35" s="53">
        <f t="shared" si="1"/>
        <v>0</v>
      </c>
      <c r="I35" s="53">
        <f t="shared" si="2"/>
        <v>0</v>
      </c>
      <c r="J35" s="218">
        <v>13</v>
      </c>
      <c r="K35" s="12"/>
    </row>
    <row r="36" spans="1:11" x14ac:dyDescent="0.2">
      <c r="A36" s="216" t="s">
        <v>427</v>
      </c>
      <c r="B36" s="216" t="s">
        <v>497</v>
      </c>
      <c r="C36" s="216" t="s">
        <v>499</v>
      </c>
      <c r="D36" s="220"/>
      <c r="E36" s="217"/>
      <c r="F36" s="53">
        <f t="shared" si="3"/>
        <v>0</v>
      </c>
      <c r="G36" s="53">
        <f t="shared" si="0"/>
        <v>0</v>
      </c>
      <c r="H36" s="53">
        <f t="shared" si="1"/>
        <v>0</v>
      </c>
      <c r="I36" s="53">
        <f t="shared" si="2"/>
        <v>0</v>
      </c>
      <c r="J36" s="218">
        <v>13</v>
      </c>
      <c r="K36" s="12"/>
    </row>
    <row r="37" spans="1:11" x14ac:dyDescent="0.2">
      <c r="A37" s="216" t="s">
        <v>428</v>
      </c>
      <c r="B37" s="216" t="s">
        <v>497</v>
      </c>
      <c r="C37" s="216" t="s">
        <v>499</v>
      </c>
      <c r="D37" s="220"/>
      <c r="E37" s="217"/>
      <c r="F37" s="53">
        <f t="shared" si="3"/>
        <v>0</v>
      </c>
      <c r="G37" s="53">
        <f t="shared" si="0"/>
        <v>0</v>
      </c>
      <c r="H37" s="53">
        <f t="shared" si="1"/>
        <v>0</v>
      </c>
      <c r="I37" s="53">
        <f t="shared" si="2"/>
        <v>0</v>
      </c>
      <c r="J37" s="218">
        <v>13</v>
      </c>
      <c r="K37" s="12"/>
    </row>
    <row r="38" spans="1:11" x14ac:dyDescent="0.2">
      <c r="A38" s="216" t="s">
        <v>429</v>
      </c>
      <c r="B38" s="216" t="s">
        <v>497</v>
      </c>
      <c r="C38" s="216" t="s">
        <v>499</v>
      </c>
      <c r="D38" s="220"/>
      <c r="E38" s="217"/>
      <c r="F38" s="53">
        <f t="shared" si="3"/>
        <v>0</v>
      </c>
      <c r="G38" s="53">
        <f t="shared" si="0"/>
        <v>0</v>
      </c>
      <c r="H38" s="53">
        <f t="shared" si="1"/>
        <v>0</v>
      </c>
      <c r="I38" s="53">
        <f t="shared" si="2"/>
        <v>0</v>
      </c>
      <c r="J38" s="218">
        <v>13</v>
      </c>
      <c r="K38" s="12"/>
    </row>
    <row r="39" spans="1:11" x14ac:dyDescent="0.2">
      <c r="A39" s="216" t="s">
        <v>430</v>
      </c>
      <c r="B39" s="216" t="s">
        <v>497</v>
      </c>
      <c r="C39" s="216" t="s">
        <v>499</v>
      </c>
      <c r="D39" s="220"/>
      <c r="E39" s="217"/>
      <c r="F39" s="53">
        <f t="shared" si="3"/>
        <v>0</v>
      </c>
      <c r="G39" s="53">
        <f t="shared" si="0"/>
        <v>0</v>
      </c>
      <c r="H39" s="53">
        <f t="shared" si="1"/>
        <v>0</v>
      </c>
      <c r="I39" s="53">
        <f t="shared" si="2"/>
        <v>0</v>
      </c>
      <c r="J39" s="218">
        <v>13</v>
      </c>
      <c r="K39" s="12"/>
    </row>
    <row r="40" spans="1:11" x14ac:dyDescent="0.2">
      <c r="A40" s="216" t="s">
        <v>431</v>
      </c>
      <c r="B40" s="216" t="s">
        <v>497</v>
      </c>
      <c r="C40" s="216" t="s">
        <v>499</v>
      </c>
      <c r="D40" s="220"/>
      <c r="E40" s="217"/>
      <c r="F40" s="53">
        <f t="shared" si="3"/>
        <v>0</v>
      </c>
      <c r="G40" s="53">
        <f t="shared" si="0"/>
        <v>0</v>
      </c>
      <c r="H40" s="53">
        <f t="shared" si="1"/>
        <v>0</v>
      </c>
      <c r="I40" s="53">
        <f t="shared" si="2"/>
        <v>0</v>
      </c>
      <c r="J40" s="218">
        <v>13</v>
      </c>
      <c r="K40" s="12"/>
    </row>
    <row r="41" spans="1:11" x14ac:dyDescent="0.2">
      <c r="A41" s="216" t="s">
        <v>432</v>
      </c>
      <c r="B41" s="216" t="s">
        <v>497</v>
      </c>
      <c r="C41" s="216" t="s">
        <v>499</v>
      </c>
      <c r="D41" s="220"/>
      <c r="E41" s="217"/>
      <c r="F41" s="53">
        <f t="shared" si="3"/>
        <v>0</v>
      </c>
      <c r="G41" s="53">
        <f t="shared" si="0"/>
        <v>0</v>
      </c>
      <c r="H41" s="53">
        <f t="shared" si="1"/>
        <v>0</v>
      </c>
      <c r="I41" s="53">
        <f t="shared" si="2"/>
        <v>0</v>
      </c>
      <c r="J41" s="218">
        <v>13</v>
      </c>
      <c r="K41" s="12"/>
    </row>
    <row r="42" spans="1:11" x14ac:dyDescent="0.2">
      <c r="A42" s="247" t="s">
        <v>433</v>
      </c>
      <c r="B42" s="216" t="s">
        <v>183</v>
      </c>
      <c r="C42" s="216" t="s">
        <v>499</v>
      </c>
      <c r="D42" s="220"/>
      <c r="E42" s="217"/>
      <c r="F42" s="53">
        <f t="shared" si="3"/>
        <v>0</v>
      </c>
      <c r="G42" s="53">
        <f t="shared" si="0"/>
        <v>0</v>
      </c>
      <c r="H42" s="53">
        <f t="shared" si="1"/>
        <v>0</v>
      </c>
      <c r="I42" s="53">
        <f t="shared" si="2"/>
        <v>0</v>
      </c>
      <c r="J42" s="218">
        <v>13</v>
      </c>
      <c r="K42" s="12"/>
    </row>
    <row r="43" spans="1:11" x14ac:dyDescent="0.2">
      <c r="A43" s="247" t="s">
        <v>434</v>
      </c>
      <c r="B43" s="216" t="s">
        <v>497</v>
      </c>
      <c r="C43" s="247" t="s">
        <v>500</v>
      </c>
      <c r="D43" s="220"/>
      <c r="E43" s="217"/>
      <c r="F43" s="53">
        <f t="shared" si="3"/>
        <v>0</v>
      </c>
      <c r="G43" s="53">
        <f t="shared" si="0"/>
        <v>0</v>
      </c>
      <c r="H43" s="53">
        <f t="shared" si="1"/>
        <v>0</v>
      </c>
      <c r="I43" s="53">
        <f t="shared" si="2"/>
        <v>0</v>
      </c>
      <c r="J43" s="218">
        <v>13</v>
      </c>
      <c r="K43" s="12"/>
    </row>
    <row r="44" spans="1:11" x14ac:dyDescent="0.2">
      <c r="A44" s="216" t="s">
        <v>435</v>
      </c>
      <c r="B44" s="216" t="s">
        <v>188</v>
      </c>
      <c r="C44" s="216" t="s">
        <v>174</v>
      </c>
      <c r="D44" s="220"/>
      <c r="E44" s="217"/>
      <c r="F44" s="53">
        <f t="shared" si="3"/>
        <v>0</v>
      </c>
      <c r="G44" s="53">
        <f t="shared" si="0"/>
        <v>0</v>
      </c>
      <c r="H44" s="53">
        <f t="shared" si="1"/>
        <v>0</v>
      </c>
      <c r="I44" s="53">
        <f t="shared" si="2"/>
        <v>0</v>
      </c>
      <c r="J44" s="218">
        <v>13</v>
      </c>
      <c r="K44" s="12"/>
    </row>
    <row r="45" spans="1:11" x14ac:dyDescent="0.2">
      <c r="A45" s="216" t="s">
        <v>436</v>
      </c>
      <c r="B45" s="216" t="s">
        <v>188</v>
      </c>
      <c r="C45" s="216" t="s">
        <v>174</v>
      </c>
      <c r="D45" s="220"/>
      <c r="E45" s="217"/>
      <c r="F45" s="53">
        <f t="shared" si="3"/>
        <v>0</v>
      </c>
      <c r="G45" s="53">
        <f t="shared" si="0"/>
        <v>0</v>
      </c>
      <c r="H45" s="53">
        <f t="shared" si="1"/>
        <v>0</v>
      </c>
      <c r="I45" s="53">
        <f t="shared" si="2"/>
        <v>0</v>
      </c>
      <c r="J45" s="218">
        <v>13</v>
      </c>
      <c r="K45" s="12"/>
    </row>
    <row r="46" spans="1:11" x14ac:dyDescent="0.2">
      <c r="A46" s="216" t="s">
        <v>437</v>
      </c>
      <c r="B46" s="216" t="s">
        <v>188</v>
      </c>
      <c r="C46" s="216" t="s">
        <v>174</v>
      </c>
      <c r="D46" s="220"/>
      <c r="E46" s="217"/>
      <c r="F46" s="53">
        <f t="shared" si="3"/>
        <v>0</v>
      </c>
      <c r="G46" s="53">
        <f t="shared" si="0"/>
        <v>0</v>
      </c>
      <c r="H46" s="53">
        <f t="shared" si="1"/>
        <v>0</v>
      </c>
      <c r="I46" s="53">
        <f t="shared" si="2"/>
        <v>0</v>
      </c>
      <c r="J46" s="218">
        <v>13</v>
      </c>
      <c r="K46" s="12"/>
    </row>
    <row r="47" spans="1:11" x14ac:dyDescent="0.2">
      <c r="A47" s="216" t="s">
        <v>438</v>
      </c>
      <c r="B47" s="216" t="s">
        <v>188</v>
      </c>
      <c r="C47" s="216" t="s">
        <v>174</v>
      </c>
      <c r="D47" s="220"/>
      <c r="E47" s="217"/>
      <c r="F47" s="53">
        <f t="shared" si="3"/>
        <v>0</v>
      </c>
      <c r="G47" s="53">
        <f t="shared" si="0"/>
        <v>0</v>
      </c>
      <c r="H47" s="53">
        <f t="shared" si="1"/>
        <v>0</v>
      </c>
      <c r="I47" s="53">
        <f t="shared" si="2"/>
        <v>0</v>
      </c>
      <c r="J47" s="218">
        <v>13</v>
      </c>
      <c r="K47" s="12"/>
    </row>
    <row r="48" spans="1:11" x14ac:dyDescent="0.2">
      <c r="A48" s="216" t="s">
        <v>439</v>
      </c>
      <c r="B48" s="216" t="s">
        <v>188</v>
      </c>
      <c r="C48" s="216" t="s">
        <v>174</v>
      </c>
      <c r="D48" s="220"/>
      <c r="E48" s="217"/>
      <c r="F48" s="53">
        <f t="shared" si="3"/>
        <v>0</v>
      </c>
      <c r="G48" s="53">
        <f t="shared" ref="G48:G79" si="8">IF(E48=0,0,IF(D48="főállású",ebédjegy*munkanapok,0))</f>
        <v>0</v>
      </c>
      <c r="H48" s="53">
        <f t="shared" ref="H48:H79" si="9">E48-F48</f>
        <v>0</v>
      </c>
      <c r="I48" s="53">
        <f t="shared" si="2"/>
        <v>0</v>
      </c>
      <c r="J48" s="218">
        <v>13</v>
      </c>
      <c r="K48" s="12"/>
    </row>
    <row r="49" spans="1:11" x14ac:dyDescent="0.2">
      <c r="A49" s="216" t="s">
        <v>440</v>
      </c>
      <c r="B49" s="216" t="s">
        <v>497</v>
      </c>
      <c r="C49" s="216" t="s">
        <v>174</v>
      </c>
      <c r="D49" s="220"/>
      <c r="E49" s="217"/>
      <c r="F49" s="53">
        <f t="shared" si="3"/>
        <v>0</v>
      </c>
      <c r="G49" s="53">
        <f t="shared" si="8"/>
        <v>0</v>
      </c>
      <c r="H49" s="53">
        <f t="shared" si="9"/>
        <v>0</v>
      </c>
      <c r="I49" s="53">
        <f t="shared" ref="I49:I80" si="10">ROUNDUP(E49*adókulcs,0)</f>
        <v>0</v>
      </c>
      <c r="J49" s="218">
        <v>13</v>
      </c>
      <c r="K49" s="12"/>
    </row>
    <row r="50" spans="1:11" x14ac:dyDescent="0.2">
      <c r="A50" s="216" t="s">
        <v>441</v>
      </c>
      <c r="B50" s="216" t="s">
        <v>497</v>
      </c>
      <c r="C50" s="216" t="s">
        <v>174</v>
      </c>
      <c r="D50" s="220"/>
      <c r="E50" s="217"/>
      <c r="F50" s="53">
        <f t="shared" si="3"/>
        <v>0</v>
      </c>
      <c r="G50" s="53">
        <f t="shared" si="8"/>
        <v>0</v>
      </c>
      <c r="H50" s="53">
        <f t="shared" si="9"/>
        <v>0</v>
      </c>
      <c r="I50" s="53">
        <f t="shared" si="10"/>
        <v>0</v>
      </c>
      <c r="J50" s="218">
        <v>13</v>
      </c>
      <c r="K50" s="12"/>
    </row>
    <row r="51" spans="1:11" x14ac:dyDescent="0.2">
      <c r="A51" s="216" t="s">
        <v>442</v>
      </c>
      <c r="B51" s="216" t="s">
        <v>497</v>
      </c>
      <c r="C51" s="216" t="s">
        <v>174</v>
      </c>
      <c r="D51" s="220"/>
      <c r="E51" s="217"/>
      <c r="F51" s="53">
        <f t="shared" si="3"/>
        <v>0</v>
      </c>
      <c r="G51" s="53">
        <f t="shared" si="8"/>
        <v>0</v>
      </c>
      <c r="H51" s="53">
        <f t="shared" si="9"/>
        <v>0</v>
      </c>
      <c r="I51" s="53">
        <f t="shared" si="10"/>
        <v>0</v>
      </c>
      <c r="J51" s="218">
        <v>13</v>
      </c>
      <c r="K51" s="12"/>
    </row>
    <row r="52" spans="1:11" x14ac:dyDescent="0.2">
      <c r="A52" s="247" t="s">
        <v>443</v>
      </c>
      <c r="B52" s="216" t="s">
        <v>497</v>
      </c>
      <c r="C52" s="216" t="s">
        <v>174</v>
      </c>
      <c r="D52" s="220"/>
      <c r="E52" s="217"/>
      <c r="F52" s="53">
        <f t="shared" si="3"/>
        <v>0</v>
      </c>
      <c r="G52" s="53">
        <f t="shared" si="8"/>
        <v>0</v>
      </c>
      <c r="H52" s="53">
        <f t="shared" si="9"/>
        <v>0</v>
      </c>
      <c r="I52" s="53">
        <f t="shared" si="10"/>
        <v>0</v>
      </c>
      <c r="J52" s="218">
        <v>13</v>
      </c>
      <c r="K52" s="12"/>
    </row>
    <row r="53" spans="1:11" x14ac:dyDescent="0.2">
      <c r="A53" s="216" t="s">
        <v>444</v>
      </c>
      <c r="B53" s="216" t="s">
        <v>497</v>
      </c>
      <c r="C53" s="216" t="s">
        <v>174</v>
      </c>
      <c r="D53" s="220"/>
      <c r="E53" s="217"/>
      <c r="F53" s="53">
        <f t="shared" si="3"/>
        <v>0</v>
      </c>
      <c r="G53" s="53">
        <f t="shared" si="8"/>
        <v>0</v>
      </c>
      <c r="H53" s="53">
        <f t="shared" si="9"/>
        <v>0</v>
      </c>
      <c r="I53" s="53">
        <f t="shared" si="10"/>
        <v>0</v>
      </c>
      <c r="J53" s="218">
        <v>13</v>
      </c>
      <c r="K53" s="12"/>
    </row>
    <row r="54" spans="1:11" x14ac:dyDescent="0.2">
      <c r="A54" s="216" t="s">
        <v>445</v>
      </c>
      <c r="B54" s="216" t="s">
        <v>497</v>
      </c>
      <c r="C54" s="216" t="s">
        <v>174</v>
      </c>
      <c r="D54" s="220"/>
      <c r="E54" s="217"/>
      <c r="F54" s="53">
        <f t="shared" si="3"/>
        <v>0</v>
      </c>
      <c r="G54" s="53">
        <f t="shared" si="8"/>
        <v>0</v>
      </c>
      <c r="H54" s="53">
        <f t="shared" si="9"/>
        <v>0</v>
      </c>
      <c r="I54" s="53">
        <f t="shared" si="10"/>
        <v>0</v>
      </c>
      <c r="J54" s="218">
        <v>13</v>
      </c>
      <c r="K54" s="12"/>
    </row>
    <row r="55" spans="1:11" x14ac:dyDescent="0.2">
      <c r="A55" s="216" t="s">
        <v>446</v>
      </c>
      <c r="B55" s="216" t="s">
        <v>497</v>
      </c>
      <c r="C55" s="216" t="s">
        <v>174</v>
      </c>
      <c r="D55" s="220"/>
      <c r="E55" s="217"/>
      <c r="F55" s="53">
        <f t="shared" si="3"/>
        <v>0</v>
      </c>
      <c r="G55" s="53">
        <f t="shared" si="8"/>
        <v>0</v>
      </c>
      <c r="H55" s="53">
        <f t="shared" si="9"/>
        <v>0</v>
      </c>
      <c r="I55" s="53">
        <f t="shared" si="10"/>
        <v>0</v>
      </c>
      <c r="J55" s="218">
        <v>13</v>
      </c>
      <c r="K55" s="12"/>
    </row>
    <row r="56" spans="1:11" x14ac:dyDescent="0.2">
      <c r="A56" s="216" t="s">
        <v>447</v>
      </c>
      <c r="B56" s="216" t="s">
        <v>352</v>
      </c>
      <c r="C56" s="216" t="s">
        <v>171</v>
      </c>
      <c r="D56" s="220"/>
      <c r="E56" s="217"/>
      <c r="F56" s="53">
        <f t="shared" si="3"/>
        <v>0</v>
      </c>
      <c r="G56" s="53">
        <f t="shared" si="8"/>
        <v>0</v>
      </c>
      <c r="H56" s="53">
        <f t="shared" si="9"/>
        <v>0</v>
      </c>
      <c r="I56" s="53">
        <f t="shared" si="10"/>
        <v>0</v>
      </c>
      <c r="J56" s="218">
        <v>13</v>
      </c>
      <c r="K56" s="12"/>
    </row>
    <row r="57" spans="1:11" x14ac:dyDescent="0.2">
      <c r="A57" s="216" t="s">
        <v>448</v>
      </c>
      <c r="B57" s="216" t="s">
        <v>188</v>
      </c>
      <c r="C57" s="216" t="s">
        <v>171</v>
      </c>
      <c r="D57" s="220"/>
      <c r="E57" s="217"/>
      <c r="F57" s="53">
        <f t="shared" si="3"/>
        <v>0</v>
      </c>
      <c r="G57" s="53">
        <f t="shared" si="8"/>
        <v>0</v>
      </c>
      <c r="H57" s="53">
        <f t="shared" si="9"/>
        <v>0</v>
      </c>
      <c r="I57" s="53">
        <f t="shared" si="10"/>
        <v>0</v>
      </c>
      <c r="J57" s="218">
        <v>13</v>
      </c>
      <c r="K57" s="12"/>
    </row>
    <row r="58" spans="1:11" x14ac:dyDescent="0.2">
      <c r="A58" s="216" t="s">
        <v>449</v>
      </c>
      <c r="B58" s="216" t="s">
        <v>188</v>
      </c>
      <c r="C58" s="216" t="s">
        <v>171</v>
      </c>
      <c r="D58" s="220"/>
      <c r="E58" s="217"/>
      <c r="F58" s="53">
        <f t="shared" si="3"/>
        <v>0</v>
      </c>
      <c r="G58" s="53">
        <f t="shared" si="8"/>
        <v>0</v>
      </c>
      <c r="H58" s="53">
        <f t="shared" si="9"/>
        <v>0</v>
      </c>
      <c r="I58" s="53">
        <f t="shared" si="10"/>
        <v>0</v>
      </c>
      <c r="J58" s="218">
        <v>13</v>
      </c>
      <c r="K58" s="12"/>
    </row>
    <row r="59" spans="1:11" x14ac:dyDescent="0.2">
      <c r="A59" s="216" t="s">
        <v>450</v>
      </c>
      <c r="B59" s="216" t="s">
        <v>497</v>
      </c>
      <c r="C59" s="216" t="s">
        <v>171</v>
      </c>
      <c r="D59" s="220"/>
      <c r="E59" s="217"/>
      <c r="F59" s="53">
        <f t="shared" si="3"/>
        <v>0</v>
      </c>
      <c r="G59" s="53">
        <f t="shared" si="8"/>
        <v>0</v>
      </c>
      <c r="H59" s="53">
        <f t="shared" si="9"/>
        <v>0</v>
      </c>
      <c r="I59" s="53">
        <f t="shared" si="10"/>
        <v>0</v>
      </c>
      <c r="J59" s="218">
        <v>13</v>
      </c>
      <c r="K59" s="12"/>
    </row>
    <row r="60" spans="1:11" x14ac:dyDescent="0.2">
      <c r="A60" s="216" t="s">
        <v>451</v>
      </c>
      <c r="B60" s="216" t="s">
        <v>497</v>
      </c>
      <c r="C60" s="216" t="s">
        <v>171</v>
      </c>
      <c r="D60" s="220"/>
      <c r="E60" s="217"/>
      <c r="F60" s="53">
        <f t="shared" si="3"/>
        <v>0</v>
      </c>
      <c r="G60" s="53">
        <f t="shared" si="8"/>
        <v>0</v>
      </c>
      <c r="H60" s="53">
        <f t="shared" si="9"/>
        <v>0</v>
      </c>
      <c r="I60" s="53">
        <f t="shared" si="10"/>
        <v>0</v>
      </c>
      <c r="J60" s="218">
        <v>13</v>
      </c>
      <c r="K60" s="12"/>
    </row>
    <row r="61" spans="1:11" x14ac:dyDescent="0.2">
      <c r="A61" s="216" t="s">
        <v>452</v>
      </c>
      <c r="B61" s="216" t="s">
        <v>497</v>
      </c>
      <c r="C61" s="216" t="s">
        <v>171</v>
      </c>
      <c r="D61" s="220"/>
      <c r="E61" s="217"/>
      <c r="F61" s="53">
        <f t="shared" si="3"/>
        <v>0</v>
      </c>
      <c r="G61" s="53">
        <f t="shared" si="8"/>
        <v>0</v>
      </c>
      <c r="H61" s="53">
        <f t="shared" si="9"/>
        <v>0</v>
      </c>
      <c r="I61" s="53">
        <f t="shared" si="10"/>
        <v>0</v>
      </c>
      <c r="J61" s="218">
        <v>13</v>
      </c>
      <c r="K61" s="12"/>
    </row>
    <row r="62" spans="1:11" x14ac:dyDescent="0.2">
      <c r="A62" s="247" t="s">
        <v>453</v>
      </c>
      <c r="B62" s="216" t="s">
        <v>497</v>
      </c>
      <c r="C62" s="216" t="s">
        <v>171</v>
      </c>
      <c r="D62" s="220"/>
      <c r="E62" s="217"/>
      <c r="F62" s="53">
        <f t="shared" si="3"/>
        <v>0</v>
      </c>
      <c r="G62" s="53">
        <f t="shared" si="8"/>
        <v>0</v>
      </c>
      <c r="H62" s="53">
        <f t="shared" si="9"/>
        <v>0</v>
      </c>
      <c r="I62" s="53">
        <f t="shared" si="10"/>
        <v>0</v>
      </c>
      <c r="J62" s="218">
        <v>13</v>
      </c>
      <c r="K62" s="12"/>
    </row>
    <row r="63" spans="1:11" x14ac:dyDescent="0.2">
      <c r="A63" s="216" t="s">
        <v>454</v>
      </c>
      <c r="B63" s="216" t="s">
        <v>497</v>
      </c>
      <c r="C63" s="216" t="s">
        <v>171</v>
      </c>
      <c r="D63" s="220"/>
      <c r="E63" s="217"/>
      <c r="F63" s="53">
        <f t="shared" si="3"/>
        <v>0</v>
      </c>
      <c r="G63" s="53">
        <f t="shared" si="8"/>
        <v>0</v>
      </c>
      <c r="H63" s="53">
        <f t="shared" si="9"/>
        <v>0</v>
      </c>
      <c r="I63" s="53">
        <f t="shared" si="10"/>
        <v>0</v>
      </c>
      <c r="J63" s="218">
        <v>13</v>
      </c>
      <c r="K63" s="12"/>
    </row>
    <row r="64" spans="1:11" x14ac:dyDescent="0.2">
      <c r="A64" s="216" t="s">
        <v>455</v>
      </c>
      <c r="B64" s="216" t="s">
        <v>497</v>
      </c>
      <c r="C64" s="216" t="s">
        <v>171</v>
      </c>
      <c r="D64" s="220"/>
      <c r="E64" s="217"/>
      <c r="F64" s="53">
        <f t="shared" si="3"/>
        <v>0</v>
      </c>
      <c r="G64" s="53">
        <f t="shared" si="8"/>
        <v>0</v>
      </c>
      <c r="H64" s="53">
        <f t="shared" si="9"/>
        <v>0</v>
      </c>
      <c r="I64" s="53">
        <f t="shared" si="10"/>
        <v>0</v>
      </c>
      <c r="J64" s="218">
        <v>13</v>
      </c>
      <c r="K64" s="12"/>
    </row>
    <row r="65" spans="1:11" x14ac:dyDescent="0.2">
      <c r="A65" s="216" t="s">
        <v>456</v>
      </c>
      <c r="B65" s="216" t="s">
        <v>497</v>
      </c>
      <c r="C65" s="216" t="s">
        <v>171</v>
      </c>
      <c r="D65" s="220"/>
      <c r="E65" s="217"/>
      <c r="F65" s="53">
        <f t="shared" si="3"/>
        <v>0</v>
      </c>
      <c r="G65" s="53">
        <f t="shared" si="8"/>
        <v>0</v>
      </c>
      <c r="H65" s="53">
        <f t="shared" si="9"/>
        <v>0</v>
      </c>
      <c r="I65" s="53">
        <f t="shared" si="10"/>
        <v>0</v>
      </c>
      <c r="J65" s="218">
        <v>13</v>
      </c>
      <c r="K65" s="12"/>
    </row>
    <row r="66" spans="1:11" x14ac:dyDescent="0.2">
      <c r="A66" s="216" t="s">
        <v>457</v>
      </c>
      <c r="B66" s="216" t="s">
        <v>497</v>
      </c>
      <c r="C66" s="216" t="s">
        <v>171</v>
      </c>
      <c r="D66" s="220"/>
      <c r="E66" s="217"/>
      <c r="F66" s="53">
        <f t="shared" si="3"/>
        <v>0</v>
      </c>
      <c r="G66" s="53">
        <f t="shared" si="8"/>
        <v>0</v>
      </c>
      <c r="H66" s="53">
        <f t="shared" si="9"/>
        <v>0</v>
      </c>
      <c r="I66" s="53">
        <f t="shared" si="10"/>
        <v>0</v>
      </c>
      <c r="J66" s="218">
        <v>13</v>
      </c>
      <c r="K66" s="12"/>
    </row>
    <row r="67" spans="1:11" x14ac:dyDescent="0.2">
      <c r="A67" s="216" t="s">
        <v>458</v>
      </c>
      <c r="B67" s="216" t="s">
        <v>497</v>
      </c>
      <c r="C67" s="216" t="s">
        <v>171</v>
      </c>
      <c r="D67" s="220"/>
      <c r="E67" s="217"/>
      <c r="F67" s="53">
        <f t="shared" si="3"/>
        <v>0</v>
      </c>
      <c r="G67" s="53">
        <f t="shared" si="8"/>
        <v>0</v>
      </c>
      <c r="H67" s="53">
        <f t="shared" si="9"/>
        <v>0</v>
      </c>
      <c r="I67" s="53">
        <f t="shared" si="10"/>
        <v>0</v>
      </c>
      <c r="J67" s="218">
        <v>13</v>
      </c>
      <c r="K67" s="12"/>
    </row>
    <row r="68" spans="1:11" x14ac:dyDescent="0.2">
      <c r="A68" s="216" t="s">
        <v>459</v>
      </c>
      <c r="B68" s="216" t="s">
        <v>497</v>
      </c>
      <c r="C68" s="216" t="s">
        <v>171</v>
      </c>
      <c r="D68" s="220"/>
      <c r="E68" s="217"/>
      <c r="F68" s="53">
        <f t="shared" si="3"/>
        <v>0</v>
      </c>
      <c r="G68" s="53">
        <f t="shared" si="8"/>
        <v>0</v>
      </c>
      <c r="H68" s="53">
        <f t="shared" si="9"/>
        <v>0</v>
      </c>
      <c r="I68" s="53">
        <f t="shared" si="10"/>
        <v>0</v>
      </c>
      <c r="J68" s="218">
        <v>13</v>
      </c>
      <c r="K68" s="12"/>
    </row>
    <row r="69" spans="1:11" x14ac:dyDescent="0.2">
      <c r="A69" s="216" t="s">
        <v>460</v>
      </c>
      <c r="B69" s="216" t="s">
        <v>183</v>
      </c>
      <c r="C69" s="216" t="s">
        <v>171</v>
      </c>
      <c r="D69" s="220"/>
      <c r="E69" s="217"/>
      <c r="F69" s="53">
        <f t="shared" si="3"/>
        <v>0</v>
      </c>
      <c r="G69" s="53">
        <f t="shared" si="8"/>
        <v>0</v>
      </c>
      <c r="H69" s="53">
        <f t="shared" si="9"/>
        <v>0</v>
      </c>
      <c r="I69" s="53">
        <f t="shared" si="10"/>
        <v>0</v>
      </c>
      <c r="J69" s="218">
        <v>13</v>
      </c>
      <c r="K69" s="12"/>
    </row>
    <row r="70" spans="1:11" x14ac:dyDescent="0.2">
      <c r="A70" s="216" t="s">
        <v>461</v>
      </c>
      <c r="B70" s="216" t="s">
        <v>183</v>
      </c>
      <c r="C70" s="216" t="s">
        <v>171</v>
      </c>
      <c r="D70" s="220"/>
      <c r="E70" s="217"/>
      <c r="F70" s="53">
        <f t="shared" si="3"/>
        <v>0</v>
      </c>
      <c r="G70" s="53">
        <f t="shared" si="8"/>
        <v>0</v>
      </c>
      <c r="H70" s="53">
        <f t="shared" si="9"/>
        <v>0</v>
      </c>
      <c r="I70" s="53">
        <f t="shared" si="10"/>
        <v>0</v>
      </c>
      <c r="J70" s="218">
        <v>13</v>
      </c>
      <c r="K70" s="12"/>
    </row>
    <row r="71" spans="1:11" x14ac:dyDescent="0.2">
      <c r="A71" s="216" t="s">
        <v>462</v>
      </c>
      <c r="B71" s="216" t="s">
        <v>183</v>
      </c>
      <c r="C71" s="216" t="s">
        <v>171</v>
      </c>
      <c r="D71" s="220"/>
      <c r="E71" s="217"/>
      <c r="F71" s="53">
        <f t="shared" si="3"/>
        <v>0</v>
      </c>
      <c r="G71" s="53">
        <f t="shared" si="8"/>
        <v>0</v>
      </c>
      <c r="H71" s="53">
        <f t="shared" si="9"/>
        <v>0</v>
      </c>
      <c r="I71" s="53">
        <f t="shared" si="10"/>
        <v>0</v>
      </c>
      <c r="J71" s="218">
        <v>13</v>
      </c>
      <c r="K71" s="12"/>
    </row>
    <row r="72" spans="1:11" x14ac:dyDescent="0.2">
      <c r="A72" s="216" t="s">
        <v>463</v>
      </c>
      <c r="B72" s="216" t="s">
        <v>352</v>
      </c>
      <c r="C72" s="216" t="s">
        <v>501</v>
      </c>
      <c r="D72" s="220"/>
      <c r="E72" s="217"/>
      <c r="F72" s="53">
        <f t="shared" si="3"/>
        <v>0</v>
      </c>
      <c r="G72" s="53">
        <f t="shared" si="8"/>
        <v>0</v>
      </c>
      <c r="H72" s="53">
        <f t="shared" si="9"/>
        <v>0</v>
      </c>
      <c r="I72" s="53">
        <f t="shared" si="10"/>
        <v>0</v>
      </c>
      <c r="J72" s="218">
        <v>13</v>
      </c>
      <c r="K72" s="12"/>
    </row>
    <row r="73" spans="1:11" x14ac:dyDescent="0.2">
      <c r="A73" s="216" t="s">
        <v>464</v>
      </c>
      <c r="B73" s="216" t="s">
        <v>352</v>
      </c>
      <c r="C73" s="216" t="s">
        <v>501</v>
      </c>
      <c r="D73" s="220"/>
      <c r="E73" s="217"/>
      <c r="F73" s="53">
        <f t="shared" si="3"/>
        <v>0</v>
      </c>
      <c r="G73" s="53">
        <f t="shared" si="8"/>
        <v>0</v>
      </c>
      <c r="H73" s="53">
        <f t="shared" si="9"/>
        <v>0</v>
      </c>
      <c r="I73" s="53">
        <f t="shared" si="10"/>
        <v>0</v>
      </c>
      <c r="J73" s="218">
        <v>13</v>
      </c>
      <c r="K73" s="12"/>
    </row>
    <row r="74" spans="1:11" x14ac:dyDescent="0.2">
      <c r="A74" s="216" t="s">
        <v>465</v>
      </c>
      <c r="B74" s="216" t="s">
        <v>188</v>
      </c>
      <c r="C74" s="216" t="s">
        <v>501</v>
      </c>
      <c r="D74" s="220"/>
      <c r="E74" s="217"/>
      <c r="F74" s="53">
        <f t="shared" si="3"/>
        <v>0</v>
      </c>
      <c r="G74" s="53">
        <f t="shared" si="8"/>
        <v>0</v>
      </c>
      <c r="H74" s="53">
        <f t="shared" si="9"/>
        <v>0</v>
      </c>
      <c r="I74" s="53">
        <f t="shared" si="10"/>
        <v>0</v>
      </c>
      <c r="J74" s="218">
        <v>13</v>
      </c>
      <c r="K74" s="12"/>
    </row>
    <row r="75" spans="1:11" x14ac:dyDescent="0.2">
      <c r="A75" s="216" t="s">
        <v>466</v>
      </c>
      <c r="B75" s="216" t="s">
        <v>188</v>
      </c>
      <c r="C75" s="216" t="s">
        <v>501</v>
      </c>
      <c r="D75" s="220"/>
      <c r="E75" s="217"/>
      <c r="F75" s="53">
        <f t="shared" si="3"/>
        <v>0</v>
      </c>
      <c r="G75" s="53">
        <f t="shared" si="8"/>
        <v>0</v>
      </c>
      <c r="H75" s="53">
        <f t="shared" si="9"/>
        <v>0</v>
      </c>
      <c r="I75" s="53">
        <f t="shared" si="10"/>
        <v>0</v>
      </c>
      <c r="J75" s="218">
        <v>13</v>
      </c>
      <c r="K75" s="12"/>
    </row>
    <row r="76" spans="1:11" x14ac:dyDescent="0.2">
      <c r="A76" s="216" t="s">
        <v>467</v>
      </c>
      <c r="B76" s="216" t="s">
        <v>188</v>
      </c>
      <c r="C76" s="216" t="s">
        <v>501</v>
      </c>
      <c r="D76" s="220"/>
      <c r="E76" s="217"/>
      <c r="F76" s="53">
        <f t="shared" si="3"/>
        <v>0</v>
      </c>
      <c r="G76" s="53">
        <f t="shared" si="8"/>
        <v>0</v>
      </c>
      <c r="H76" s="53">
        <f t="shared" si="9"/>
        <v>0</v>
      </c>
      <c r="I76" s="53">
        <f t="shared" si="10"/>
        <v>0</v>
      </c>
      <c r="J76" s="218">
        <v>13</v>
      </c>
      <c r="K76" s="12"/>
    </row>
    <row r="77" spans="1:11" x14ac:dyDescent="0.2">
      <c r="A77" s="216" t="s">
        <v>468</v>
      </c>
      <c r="B77" s="216" t="s">
        <v>497</v>
      </c>
      <c r="C77" s="216" t="s">
        <v>501</v>
      </c>
      <c r="D77" s="220"/>
      <c r="E77" s="217"/>
      <c r="F77" s="53">
        <f t="shared" si="3"/>
        <v>0</v>
      </c>
      <c r="G77" s="53">
        <f t="shared" si="8"/>
        <v>0</v>
      </c>
      <c r="H77" s="53">
        <f t="shared" si="9"/>
        <v>0</v>
      </c>
      <c r="I77" s="53">
        <f t="shared" si="10"/>
        <v>0</v>
      </c>
      <c r="J77" s="218">
        <v>13</v>
      </c>
      <c r="K77" s="12"/>
    </row>
    <row r="78" spans="1:11" x14ac:dyDescent="0.2">
      <c r="A78" s="216" t="s">
        <v>469</v>
      </c>
      <c r="B78" s="216" t="s">
        <v>497</v>
      </c>
      <c r="C78" s="216" t="s">
        <v>501</v>
      </c>
      <c r="D78" s="220"/>
      <c r="E78" s="217"/>
      <c r="F78" s="53">
        <f t="shared" si="3"/>
        <v>0</v>
      </c>
      <c r="G78" s="53">
        <f t="shared" si="8"/>
        <v>0</v>
      </c>
      <c r="H78" s="53">
        <f t="shared" si="9"/>
        <v>0</v>
      </c>
      <c r="I78" s="53">
        <f t="shared" si="10"/>
        <v>0</v>
      </c>
      <c r="J78" s="218">
        <v>13</v>
      </c>
      <c r="K78" s="12"/>
    </row>
    <row r="79" spans="1:11" x14ac:dyDescent="0.2">
      <c r="A79" s="216" t="s">
        <v>470</v>
      </c>
      <c r="B79" s="216" t="s">
        <v>497</v>
      </c>
      <c r="C79" s="216" t="s">
        <v>501</v>
      </c>
      <c r="D79" s="220"/>
      <c r="E79" s="217"/>
      <c r="F79" s="53">
        <f t="shared" si="3"/>
        <v>0</v>
      </c>
      <c r="G79" s="53">
        <f t="shared" si="8"/>
        <v>0</v>
      </c>
      <c r="H79" s="53">
        <f t="shared" si="9"/>
        <v>0</v>
      </c>
      <c r="I79" s="53">
        <f t="shared" si="10"/>
        <v>0</v>
      </c>
      <c r="J79" s="218">
        <v>13</v>
      </c>
      <c r="K79" s="12"/>
    </row>
    <row r="80" spans="1:11" x14ac:dyDescent="0.2">
      <c r="A80" s="216" t="s">
        <v>471</v>
      </c>
      <c r="B80" s="216" t="s">
        <v>497</v>
      </c>
      <c r="C80" s="216" t="s">
        <v>501</v>
      </c>
      <c r="D80" s="220"/>
      <c r="E80" s="217"/>
      <c r="F80" s="53">
        <f t="shared" si="3"/>
        <v>0</v>
      </c>
      <c r="G80" s="53">
        <f t="shared" ref="G80:G116" si="11">IF(E80=0,0,IF(D80="főállású",ebédjegy*munkanapok,0))</f>
        <v>0</v>
      </c>
      <c r="H80" s="53">
        <f t="shared" ref="H80:H116" si="12">E80-F80</f>
        <v>0</v>
      </c>
      <c r="I80" s="53">
        <f t="shared" si="10"/>
        <v>0</v>
      </c>
      <c r="J80" s="218">
        <v>13</v>
      </c>
      <c r="K80" s="12"/>
    </row>
    <row r="81" spans="1:11" x14ac:dyDescent="0.2">
      <c r="A81" s="216" t="s">
        <v>472</v>
      </c>
      <c r="B81" s="216" t="s">
        <v>183</v>
      </c>
      <c r="C81" s="216" t="s">
        <v>170</v>
      </c>
      <c r="D81" s="220"/>
      <c r="E81" s="217"/>
      <c r="F81" s="53">
        <f t="shared" si="3"/>
        <v>0</v>
      </c>
      <c r="G81" s="53">
        <f t="shared" si="11"/>
        <v>0</v>
      </c>
      <c r="H81" s="53">
        <f t="shared" si="12"/>
        <v>0</v>
      </c>
      <c r="I81" s="53">
        <f t="shared" ref="I81:I116" si="13">ROUNDUP(E81*adókulcs,0)</f>
        <v>0</v>
      </c>
      <c r="J81" s="218">
        <v>13</v>
      </c>
      <c r="K81" s="12"/>
    </row>
    <row r="82" spans="1:11" x14ac:dyDescent="0.2">
      <c r="A82" s="247" t="s">
        <v>473</v>
      </c>
      <c r="B82" s="216" t="s">
        <v>188</v>
      </c>
      <c r="C82" s="216" t="s">
        <v>373</v>
      </c>
      <c r="D82" s="220"/>
      <c r="E82" s="217"/>
      <c r="F82" s="53">
        <f t="shared" ref="F82:F116" si="14">ROUNDUP(E82*70%,0)</f>
        <v>0</v>
      </c>
      <c r="G82" s="53">
        <f t="shared" si="11"/>
        <v>0</v>
      </c>
      <c r="H82" s="53">
        <f t="shared" si="12"/>
        <v>0</v>
      </c>
      <c r="I82" s="53">
        <f t="shared" si="13"/>
        <v>0</v>
      </c>
      <c r="J82" s="218">
        <v>13</v>
      </c>
      <c r="K82" s="12"/>
    </row>
    <row r="83" spans="1:11" x14ac:dyDescent="0.2">
      <c r="A83" s="216" t="s">
        <v>474</v>
      </c>
      <c r="B83" s="216" t="s">
        <v>352</v>
      </c>
      <c r="C83" s="216" t="s">
        <v>176</v>
      </c>
      <c r="D83" s="220"/>
      <c r="E83" s="217"/>
      <c r="F83" s="53">
        <f t="shared" si="14"/>
        <v>0</v>
      </c>
      <c r="G83" s="53">
        <f t="shared" si="11"/>
        <v>0</v>
      </c>
      <c r="H83" s="53">
        <f t="shared" si="12"/>
        <v>0</v>
      </c>
      <c r="I83" s="53">
        <f t="shared" si="13"/>
        <v>0</v>
      </c>
      <c r="J83" s="218">
        <v>13</v>
      </c>
      <c r="K83" s="12"/>
    </row>
    <row r="84" spans="1:11" x14ac:dyDescent="0.2">
      <c r="A84" s="216" t="s">
        <v>475</v>
      </c>
      <c r="B84" s="216" t="s">
        <v>352</v>
      </c>
      <c r="C84" s="216" t="s">
        <v>176</v>
      </c>
      <c r="D84" s="220"/>
      <c r="E84" s="217"/>
      <c r="F84" s="53">
        <f t="shared" si="14"/>
        <v>0</v>
      </c>
      <c r="G84" s="53">
        <f t="shared" si="11"/>
        <v>0</v>
      </c>
      <c r="H84" s="53">
        <f t="shared" si="12"/>
        <v>0</v>
      </c>
      <c r="I84" s="53">
        <f t="shared" si="13"/>
        <v>0</v>
      </c>
      <c r="J84" s="218">
        <v>13</v>
      </c>
      <c r="K84" s="12"/>
    </row>
    <row r="85" spans="1:11" x14ac:dyDescent="0.2">
      <c r="A85" s="216" t="s">
        <v>476</v>
      </c>
      <c r="B85" s="216" t="s">
        <v>352</v>
      </c>
      <c r="C85" s="216" t="s">
        <v>176</v>
      </c>
      <c r="D85" s="220"/>
      <c r="E85" s="217"/>
      <c r="F85" s="53">
        <f t="shared" si="14"/>
        <v>0</v>
      </c>
      <c r="G85" s="53">
        <f t="shared" si="11"/>
        <v>0</v>
      </c>
      <c r="H85" s="53">
        <f t="shared" si="12"/>
        <v>0</v>
      </c>
      <c r="I85" s="53">
        <f t="shared" si="13"/>
        <v>0</v>
      </c>
      <c r="J85" s="218">
        <v>13</v>
      </c>
      <c r="K85" s="12"/>
    </row>
    <row r="86" spans="1:11" x14ac:dyDescent="0.2">
      <c r="A86" s="216" t="s">
        <v>477</v>
      </c>
      <c r="B86" s="216" t="s">
        <v>352</v>
      </c>
      <c r="C86" s="216" t="s">
        <v>176</v>
      </c>
      <c r="D86" s="220"/>
      <c r="E86" s="217"/>
      <c r="F86" s="53">
        <f t="shared" si="14"/>
        <v>0</v>
      </c>
      <c r="G86" s="53">
        <f t="shared" si="11"/>
        <v>0</v>
      </c>
      <c r="H86" s="53">
        <f t="shared" si="12"/>
        <v>0</v>
      </c>
      <c r="I86" s="53">
        <f t="shared" si="13"/>
        <v>0</v>
      </c>
      <c r="J86" s="218">
        <v>13</v>
      </c>
      <c r="K86" s="12"/>
    </row>
    <row r="87" spans="1:11" ht="13.5" customHeight="1" x14ac:dyDescent="0.2">
      <c r="A87" s="216" t="s">
        <v>478</v>
      </c>
      <c r="B87" s="216" t="s">
        <v>188</v>
      </c>
      <c r="C87" s="216" t="s">
        <v>176</v>
      </c>
      <c r="D87" s="220"/>
      <c r="E87" s="217"/>
      <c r="F87" s="53">
        <f t="shared" si="14"/>
        <v>0</v>
      </c>
      <c r="G87" s="53">
        <f t="shared" si="11"/>
        <v>0</v>
      </c>
      <c r="H87" s="53">
        <f t="shared" si="12"/>
        <v>0</v>
      </c>
      <c r="I87" s="53">
        <f t="shared" si="13"/>
        <v>0</v>
      </c>
      <c r="J87" s="218">
        <v>13</v>
      </c>
      <c r="K87" s="12"/>
    </row>
    <row r="88" spans="1:11" x14ac:dyDescent="0.2">
      <c r="A88" s="216" t="s">
        <v>479</v>
      </c>
      <c r="B88" s="216" t="s">
        <v>188</v>
      </c>
      <c r="C88" s="216" t="s">
        <v>176</v>
      </c>
      <c r="D88" s="220"/>
      <c r="E88" s="217"/>
      <c r="F88" s="53">
        <f t="shared" si="14"/>
        <v>0</v>
      </c>
      <c r="G88" s="53">
        <f t="shared" si="11"/>
        <v>0</v>
      </c>
      <c r="H88" s="53">
        <f t="shared" si="12"/>
        <v>0</v>
      </c>
      <c r="I88" s="53">
        <f t="shared" si="13"/>
        <v>0</v>
      </c>
      <c r="J88" s="218">
        <v>13</v>
      </c>
      <c r="K88" s="12"/>
    </row>
    <row r="89" spans="1:11" x14ac:dyDescent="0.2">
      <c r="A89" s="216" t="s">
        <v>480</v>
      </c>
      <c r="B89" s="216" t="s">
        <v>497</v>
      </c>
      <c r="C89" s="216" t="s">
        <v>176</v>
      </c>
      <c r="D89" s="220"/>
      <c r="E89" s="217"/>
      <c r="F89" s="53">
        <f t="shared" si="14"/>
        <v>0</v>
      </c>
      <c r="G89" s="53">
        <f t="shared" si="11"/>
        <v>0</v>
      </c>
      <c r="H89" s="53">
        <f t="shared" si="12"/>
        <v>0</v>
      </c>
      <c r="I89" s="53">
        <f t="shared" si="13"/>
        <v>0</v>
      </c>
      <c r="J89" s="218">
        <v>13</v>
      </c>
      <c r="K89" s="12"/>
    </row>
    <row r="90" spans="1:11" x14ac:dyDescent="0.2">
      <c r="A90" s="216" t="s">
        <v>481</v>
      </c>
      <c r="B90" s="216" t="s">
        <v>497</v>
      </c>
      <c r="C90" s="216" t="s">
        <v>176</v>
      </c>
      <c r="D90" s="220"/>
      <c r="E90" s="217"/>
      <c r="F90" s="53">
        <f t="shared" si="14"/>
        <v>0</v>
      </c>
      <c r="G90" s="53">
        <f t="shared" si="11"/>
        <v>0</v>
      </c>
      <c r="H90" s="53">
        <f t="shared" si="12"/>
        <v>0</v>
      </c>
      <c r="I90" s="53">
        <f t="shared" si="13"/>
        <v>0</v>
      </c>
      <c r="J90" s="218">
        <v>13</v>
      </c>
      <c r="K90" s="12"/>
    </row>
    <row r="91" spans="1:11" x14ac:dyDescent="0.2">
      <c r="A91" s="247" t="s">
        <v>482</v>
      </c>
      <c r="B91" s="216" t="s">
        <v>497</v>
      </c>
      <c r="C91" s="216" t="s">
        <v>176</v>
      </c>
      <c r="D91" s="220"/>
      <c r="E91" s="217"/>
      <c r="F91" s="53">
        <f t="shared" si="14"/>
        <v>0</v>
      </c>
      <c r="G91" s="53">
        <f t="shared" si="11"/>
        <v>0</v>
      </c>
      <c r="H91" s="53">
        <f t="shared" si="12"/>
        <v>0</v>
      </c>
      <c r="I91" s="53">
        <f t="shared" si="13"/>
        <v>0</v>
      </c>
      <c r="J91" s="218">
        <v>13</v>
      </c>
      <c r="K91" s="12"/>
    </row>
    <row r="92" spans="1:11" x14ac:dyDescent="0.2">
      <c r="A92" s="216" t="s">
        <v>483</v>
      </c>
      <c r="B92" s="216" t="s">
        <v>497</v>
      </c>
      <c r="C92" s="216" t="s">
        <v>176</v>
      </c>
      <c r="D92" s="220"/>
      <c r="E92" s="217"/>
      <c r="F92" s="53">
        <f t="shared" si="14"/>
        <v>0</v>
      </c>
      <c r="G92" s="53">
        <f t="shared" si="11"/>
        <v>0</v>
      </c>
      <c r="H92" s="53">
        <f t="shared" si="12"/>
        <v>0</v>
      </c>
      <c r="I92" s="53">
        <f t="shared" si="13"/>
        <v>0</v>
      </c>
      <c r="J92" s="218">
        <v>13</v>
      </c>
      <c r="K92" s="12"/>
    </row>
    <row r="93" spans="1:11" x14ac:dyDescent="0.2">
      <c r="A93" s="216" t="s">
        <v>484</v>
      </c>
      <c r="B93" s="216" t="s">
        <v>497</v>
      </c>
      <c r="C93" s="216" t="s">
        <v>176</v>
      </c>
      <c r="D93" s="220"/>
      <c r="E93" s="217"/>
      <c r="F93" s="53">
        <f t="shared" si="14"/>
        <v>0</v>
      </c>
      <c r="G93" s="53">
        <f t="shared" si="11"/>
        <v>0</v>
      </c>
      <c r="H93" s="53">
        <f t="shared" si="12"/>
        <v>0</v>
      </c>
      <c r="I93" s="53">
        <f t="shared" si="13"/>
        <v>0</v>
      </c>
      <c r="J93" s="218">
        <v>13</v>
      </c>
      <c r="K93" s="12"/>
    </row>
    <row r="94" spans="1:11" x14ac:dyDescent="0.2">
      <c r="A94" s="216" t="s">
        <v>485</v>
      </c>
      <c r="B94" s="216" t="s">
        <v>497</v>
      </c>
      <c r="C94" s="216" t="s">
        <v>176</v>
      </c>
      <c r="D94" s="220"/>
      <c r="E94" s="217"/>
      <c r="F94" s="53">
        <f t="shared" si="14"/>
        <v>0</v>
      </c>
      <c r="G94" s="53">
        <f t="shared" si="11"/>
        <v>0</v>
      </c>
      <c r="H94" s="53">
        <f t="shared" si="12"/>
        <v>0</v>
      </c>
      <c r="I94" s="53">
        <f t="shared" si="13"/>
        <v>0</v>
      </c>
      <c r="J94" s="218">
        <v>13</v>
      </c>
      <c r="K94" s="12"/>
    </row>
    <row r="95" spans="1:11" x14ac:dyDescent="0.2">
      <c r="A95" s="216" t="s">
        <v>486</v>
      </c>
      <c r="B95" s="216" t="s">
        <v>497</v>
      </c>
      <c r="C95" s="216" t="s">
        <v>176</v>
      </c>
      <c r="D95" s="220"/>
      <c r="E95" s="217"/>
      <c r="F95" s="53">
        <f t="shared" si="14"/>
        <v>0</v>
      </c>
      <c r="G95" s="53">
        <f t="shared" si="11"/>
        <v>0</v>
      </c>
      <c r="H95" s="53">
        <f t="shared" si="12"/>
        <v>0</v>
      </c>
      <c r="I95" s="53">
        <f t="shared" si="13"/>
        <v>0</v>
      </c>
      <c r="J95" s="218">
        <v>13</v>
      </c>
      <c r="K95" s="12"/>
    </row>
    <row r="96" spans="1:11" x14ac:dyDescent="0.2">
      <c r="A96" s="216" t="s">
        <v>487</v>
      </c>
      <c r="B96" s="216" t="s">
        <v>497</v>
      </c>
      <c r="C96" s="216" t="s">
        <v>176</v>
      </c>
      <c r="D96" s="220"/>
      <c r="E96" s="217"/>
      <c r="F96" s="53">
        <f t="shared" si="14"/>
        <v>0</v>
      </c>
      <c r="G96" s="53">
        <f t="shared" si="11"/>
        <v>0</v>
      </c>
      <c r="H96" s="53">
        <f t="shared" si="12"/>
        <v>0</v>
      </c>
      <c r="I96" s="53">
        <f t="shared" si="13"/>
        <v>0</v>
      </c>
      <c r="J96" s="218">
        <v>13</v>
      </c>
      <c r="K96" s="12"/>
    </row>
    <row r="97" spans="1:11" x14ac:dyDescent="0.2">
      <c r="A97" s="216" t="s">
        <v>488</v>
      </c>
      <c r="B97" s="216" t="s">
        <v>497</v>
      </c>
      <c r="C97" s="216" t="s">
        <v>176</v>
      </c>
      <c r="D97" s="220"/>
      <c r="E97" s="217"/>
      <c r="F97" s="53">
        <f t="shared" si="14"/>
        <v>0</v>
      </c>
      <c r="G97" s="53">
        <f t="shared" si="11"/>
        <v>0</v>
      </c>
      <c r="H97" s="53">
        <f t="shared" si="12"/>
        <v>0</v>
      </c>
      <c r="I97" s="53">
        <f t="shared" si="13"/>
        <v>0</v>
      </c>
      <c r="J97" s="218">
        <v>13</v>
      </c>
      <c r="K97" s="12"/>
    </row>
    <row r="98" spans="1:11" x14ac:dyDescent="0.2">
      <c r="A98" s="216" t="s">
        <v>489</v>
      </c>
      <c r="B98" s="216" t="s">
        <v>497</v>
      </c>
      <c r="C98" s="216" t="s">
        <v>176</v>
      </c>
      <c r="D98" s="220"/>
      <c r="E98" s="217"/>
      <c r="F98" s="53">
        <f t="shared" si="14"/>
        <v>0</v>
      </c>
      <c r="G98" s="53">
        <f t="shared" si="11"/>
        <v>0</v>
      </c>
      <c r="H98" s="53">
        <f t="shared" si="12"/>
        <v>0</v>
      </c>
      <c r="I98" s="53">
        <f t="shared" si="13"/>
        <v>0</v>
      </c>
      <c r="J98" s="218">
        <v>13</v>
      </c>
      <c r="K98" s="12"/>
    </row>
    <row r="99" spans="1:11" x14ac:dyDescent="0.2">
      <c r="A99" s="216" t="s">
        <v>490</v>
      </c>
      <c r="B99" s="216" t="s">
        <v>497</v>
      </c>
      <c r="C99" s="216" t="s">
        <v>176</v>
      </c>
      <c r="D99" s="220"/>
      <c r="E99" s="217"/>
      <c r="F99" s="53">
        <f t="shared" si="14"/>
        <v>0</v>
      </c>
      <c r="G99" s="53">
        <f t="shared" si="11"/>
        <v>0</v>
      </c>
      <c r="H99" s="53">
        <f t="shared" si="12"/>
        <v>0</v>
      </c>
      <c r="I99" s="53">
        <f t="shared" si="13"/>
        <v>0</v>
      </c>
      <c r="J99" s="218">
        <v>13</v>
      </c>
      <c r="K99" s="12"/>
    </row>
    <row r="100" spans="1:11" x14ac:dyDescent="0.2">
      <c r="A100" s="216" t="s">
        <v>491</v>
      </c>
      <c r="B100" s="216" t="s">
        <v>497</v>
      </c>
      <c r="C100" s="216" t="s">
        <v>176</v>
      </c>
      <c r="D100" s="220"/>
      <c r="E100" s="217"/>
      <c r="F100" s="53">
        <f t="shared" si="14"/>
        <v>0</v>
      </c>
      <c r="G100" s="53">
        <f t="shared" si="11"/>
        <v>0</v>
      </c>
      <c r="H100" s="53">
        <f t="shared" si="12"/>
        <v>0</v>
      </c>
      <c r="I100" s="53">
        <f t="shared" si="13"/>
        <v>0</v>
      </c>
      <c r="J100" s="218">
        <v>13</v>
      </c>
      <c r="K100" s="12"/>
    </row>
    <row r="101" spans="1:11" x14ac:dyDescent="0.2">
      <c r="A101" s="247" t="s">
        <v>492</v>
      </c>
      <c r="B101" s="216" t="s">
        <v>497</v>
      </c>
      <c r="C101" s="216" t="s">
        <v>176</v>
      </c>
      <c r="D101" s="220"/>
      <c r="E101" s="217"/>
      <c r="F101" s="53">
        <f t="shared" si="14"/>
        <v>0</v>
      </c>
      <c r="G101" s="53">
        <f t="shared" si="11"/>
        <v>0</v>
      </c>
      <c r="H101" s="53">
        <f t="shared" si="12"/>
        <v>0</v>
      </c>
      <c r="I101" s="53">
        <f t="shared" si="13"/>
        <v>0</v>
      </c>
      <c r="J101" s="218">
        <v>13</v>
      </c>
      <c r="K101" s="12"/>
    </row>
    <row r="102" spans="1:11" x14ac:dyDescent="0.2">
      <c r="A102" s="247" t="s">
        <v>493</v>
      </c>
      <c r="B102" s="216" t="s">
        <v>497</v>
      </c>
      <c r="C102" s="216" t="s">
        <v>176</v>
      </c>
      <c r="D102" s="220"/>
      <c r="E102" s="217"/>
      <c r="F102" s="53">
        <f t="shared" si="14"/>
        <v>0</v>
      </c>
      <c r="G102" s="53">
        <f t="shared" si="11"/>
        <v>0</v>
      </c>
      <c r="H102" s="53">
        <f t="shared" si="12"/>
        <v>0</v>
      </c>
      <c r="I102" s="53">
        <f t="shared" si="13"/>
        <v>0</v>
      </c>
      <c r="J102" s="218">
        <v>13</v>
      </c>
      <c r="K102" s="12"/>
    </row>
    <row r="103" spans="1:11" x14ac:dyDescent="0.2">
      <c r="A103" s="216" t="s">
        <v>494</v>
      </c>
      <c r="B103" s="216" t="s">
        <v>497</v>
      </c>
      <c r="C103" s="216" t="s">
        <v>176</v>
      </c>
      <c r="D103" s="220"/>
      <c r="E103" s="217"/>
      <c r="F103" s="53">
        <f t="shared" si="14"/>
        <v>0</v>
      </c>
      <c r="G103" s="53">
        <f t="shared" si="11"/>
        <v>0</v>
      </c>
      <c r="H103" s="53">
        <f t="shared" si="12"/>
        <v>0</v>
      </c>
      <c r="I103" s="53">
        <f t="shared" si="13"/>
        <v>0</v>
      </c>
      <c r="J103" s="218">
        <v>13</v>
      </c>
      <c r="K103" s="12"/>
    </row>
    <row r="104" spans="1:11" x14ac:dyDescent="0.2">
      <c r="A104" s="216" t="s">
        <v>495</v>
      </c>
      <c r="B104" s="216" t="s">
        <v>183</v>
      </c>
      <c r="C104" s="216" t="s">
        <v>176</v>
      </c>
      <c r="D104" s="220"/>
      <c r="E104" s="217"/>
      <c r="F104" s="53">
        <f t="shared" si="14"/>
        <v>0</v>
      </c>
      <c r="G104" s="53">
        <f t="shared" si="11"/>
        <v>0</v>
      </c>
      <c r="H104" s="53">
        <f t="shared" si="12"/>
        <v>0</v>
      </c>
      <c r="I104" s="53">
        <f t="shared" si="13"/>
        <v>0</v>
      </c>
      <c r="J104" s="218">
        <v>13</v>
      </c>
      <c r="K104" s="12"/>
    </row>
    <row r="105" spans="1:11" x14ac:dyDescent="0.2">
      <c r="A105" s="216" t="s">
        <v>496</v>
      </c>
      <c r="B105" s="216" t="s">
        <v>183</v>
      </c>
      <c r="C105" s="216" t="s">
        <v>176</v>
      </c>
      <c r="D105" s="220"/>
      <c r="E105" s="217"/>
      <c r="F105" s="53">
        <f t="shared" si="14"/>
        <v>0</v>
      </c>
      <c r="G105" s="53">
        <f t="shared" si="11"/>
        <v>0</v>
      </c>
      <c r="H105" s="53">
        <f t="shared" si="12"/>
        <v>0</v>
      </c>
      <c r="I105" s="53">
        <f t="shared" si="13"/>
        <v>0</v>
      </c>
      <c r="J105" s="218">
        <v>13</v>
      </c>
      <c r="K105" s="12"/>
    </row>
    <row r="106" spans="1:11" x14ac:dyDescent="0.2">
      <c r="A106" s="216" t="s">
        <v>502</v>
      </c>
      <c r="B106" s="216"/>
      <c r="C106" s="216"/>
      <c r="D106" s="220"/>
      <c r="E106" s="217"/>
      <c r="F106" s="53">
        <f t="shared" si="14"/>
        <v>0</v>
      </c>
      <c r="G106" s="53">
        <f t="shared" si="11"/>
        <v>0</v>
      </c>
      <c r="H106" s="53">
        <f t="shared" si="12"/>
        <v>0</v>
      </c>
      <c r="I106" s="53">
        <f t="shared" si="13"/>
        <v>0</v>
      </c>
      <c r="J106" s="218">
        <v>9</v>
      </c>
      <c r="K106" s="12"/>
    </row>
    <row r="107" spans="1:11" x14ac:dyDescent="0.2">
      <c r="A107" s="247" t="s">
        <v>503</v>
      </c>
      <c r="B107" s="216"/>
      <c r="C107" s="216"/>
      <c r="D107" s="220"/>
      <c r="E107" s="217"/>
      <c r="F107" s="53">
        <f t="shared" si="14"/>
        <v>0</v>
      </c>
      <c r="G107" s="53">
        <f t="shared" si="11"/>
        <v>0</v>
      </c>
      <c r="H107" s="53">
        <f t="shared" si="12"/>
        <v>0</v>
      </c>
      <c r="I107" s="53">
        <f t="shared" si="13"/>
        <v>0</v>
      </c>
      <c r="J107" s="218">
        <v>7</v>
      </c>
      <c r="K107" s="12"/>
    </row>
    <row r="108" spans="1:11" x14ac:dyDescent="0.2">
      <c r="A108" s="216"/>
      <c r="B108" s="216"/>
      <c r="C108" s="216"/>
      <c r="D108" s="220"/>
      <c r="E108" s="217"/>
      <c r="F108" s="53">
        <f t="shared" si="14"/>
        <v>0</v>
      </c>
      <c r="G108" s="53">
        <f t="shared" si="11"/>
        <v>0</v>
      </c>
      <c r="H108" s="53">
        <f t="shared" si="12"/>
        <v>0</v>
      </c>
      <c r="I108" s="53">
        <f t="shared" si="13"/>
        <v>0</v>
      </c>
      <c r="J108" s="218">
        <v>13</v>
      </c>
      <c r="K108" s="12"/>
    </row>
    <row r="109" spans="1:11" x14ac:dyDescent="0.2">
      <c r="A109" s="216"/>
      <c r="B109" s="216"/>
      <c r="C109" s="216"/>
      <c r="D109" s="220"/>
      <c r="E109" s="217"/>
      <c r="F109" s="53">
        <f t="shared" si="14"/>
        <v>0</v>
      </c>
      <c r="G109" s="53">
        <f t="shared" si="11"/>
        <v>0</v>
      </c>
      <c r="H109" s="53">
        <f t="shared" si="12"/>
        <v>0</v>
      </c>
      <c r="I109" s="53">
        <f t="shared" si="13"/>
        <v>0</v>
      </c>
      <c r="J109" s="218">
        <v>13</v>
      </c>
      <c r="K109" s="12"/>
    </row>
    <row r="110" spans="1:11" x14ac:dyDescent="0.2">
      <c r="A110" s="216"/>
      <c r="B110" s="216"/>
      <c r="C110" s="216"/>
      <c r="D110" s="220"/>
      <c r="E110" s="217"/>
      <c r="F110" s="53">
        <f t="shared" si="14"/>
        <v>0</v>
      </c>
      <c r="G110" s="53">
        <f t="shared" si="11"/>
        <v>0</v>
      </c>
      <c r="H110" s="53">
        <f t="shared" si="12"/>
        <v>0</v>
      </c>
      <c r="I110" s="53">
        <f t="shared" si="13"/>
        <v>0</v>
      </c>
      <c r="J110" s="218">
        <v>13</v>
      </c>
      <c r="K110" s="12"/>
    </row>
    <row r="111" spans="1:11" x14ac:dyDescent="0.2">
      <c r="A111" s="216"/>
      <c r="B111" s="216"/>
      <c r="C111" s="216"/>
      <c r="D111" s="220"/>
      <c r="E111" s="217"/>
      <c r="F111" s="53">
        <f t="shared" si="14"/>
        <v>0</v>
      </c>
      <c r="G111" s="53">
        <f t="shared" si="11"/>
        <v>0</v>
      </c>
      <c r="H111" s="53">
        <f t="shared" si="12"/>
        <v>0</v>
      </c>
      <c r="I111" s="53">
        <f t="shared" si="13"/>
        <v>0</v>
      </c>
      <c r="J111" s="218">
        <v>13</v>
      </c>
      <c r="K111" s="12"/>
    </row>
    <row r="112" spans="1:11" x14ac:dyDescent="0.2">
      <c r="A112" s="216"/>
      <c r="B112" s="216"/>
      <c r="C112" s="216"/>
      <c r="D112" s="220"/>
      <c r="E112" s="217"/>
      <c r="F112" s="53">
        <f t="shared" si="14"/>
        <v>0</v>
      </c>
      <c r="G112" s="53">
        <f t="shared" si="11"/>
        <v>0</v>
      </c>
      <c r="H112" s="53">
        <f t="shared" si="12"/>
        <v>0</v>
      </c>
      <c r="I112" s="53">
        <f t="shared" si="13"/>
        <v>0</v>
      </c>
      <c r="J112" s="218">
        <v>13</v>
      </c>
      <c r="K112" s="12"/>
    </row>
    <row r="113" spans="1:11" x14ac:dyDescent="0.2">
      <c r="A113" s="216"/>
      <c r="B113" s="216"/>
      <c r="C113" s="216"/>
      <c r="D113" s="220"/>
      <c r="E113" s="217"/>
      <c r="F113" s="53">
        <f t="shared" si="14"/>
        <v>0</v>
      </c>
      <c r="G113" s="53">
        <f t="shared" si="11"/>
        <v>0</v>
      </c>
      <c r="H113" s="53">
        <f t="shared" si="12"/>
        <v>0</v>
      </c>
      <c r="I113" s="53">
        <f t="shared" si="13"/>
        <v>0</v>
      </c>
      <c r="J113" s="218">
        <v>13</v>
      </c>
      <c r="K113" s="12"/>
    </row>
    <row r="114" spans="1:11" x14ac:dyDescent="0.2">
      <c r="A114" s="216"/>
      <c r="B114" s="216"/>
      <c r="C114" s="216"/>
      <c r="D114" s="220"/>
      <c r="E114" s="217"/>
      <c r="F114" s="53">
        <f t="shared" si="14"/>
        <v>0</v>
      </c>
      <c r="G114" s="53">
        <f t="shared" si="11"/>
        <v>0</v>
      </c>
      <c r="H114" s="53">
        <f t="shared" si="12"/>
        <v>0</v>
      </c>
      <c r="I114" s="53">
        <f t="shared" si="13"/>
        <v>0</v>
      </c>
      <c r="J114" s="218">
        <v>13</v>
      </c>
      <c r="K114" s="12"/>
    </row>
    <row r="115" spans="1:11" x14ac:dyDescent="0.2">
      <c r="A115" s="216"/>
      <c r="B115" s="216"/>
      <c r="C115" s="216"/>
      <c r="D115" s="220"/>
      <c r="E115" s="217"/>
      <c r="F115" s="53">
        <f t="shared" si="14"/>
        <v>0</v>
      </c>
      <c r="G115" s="53">
        <f t="shared" si="11"/>
        <v>0</v>
      </c>
      <c r="H115" s="53">
        <f t="shared" si="12"/>
        <v>0</v>
      </c>
      <c r="I115" s="53">
        <f t="shared" si="13"/>
        <v>0</v>
      </c>
      <c r="J115" s="218">
        <v>13</v>
      </c>
      <c r="K115" s="12"/>
    </row>
    <row r="116" spans="1:11" x14ac:dyDescent="0.2">
      <c r="A116" s="216"/>
      <c r="B116" s="216"/>
      <c r="C116" s="216"/>
      <c r="D116" s="220"/>
      <c r="E116" s="217"/>
      <c r="F116" s="53">
        <f t="shared" si="14"/>
        <v>0</v>
      </c>
      <c r="G116" s="53">
        <f t="shared" si="11"/>
        <v>0</v>
      </c>
      <c r="H116" s="53">
        <f t="shared" si="12"/>
        <v>0</v>
      </c>
      <c r="I116" s="53">
        <f t="shared" si="13"/>
        <v>0</v>
      </c>
      <c r="J116" s="218">
        <v>13</v>
      </c>
      <c r="K116" s="12"/>
    </row>
    <row r="117" spans="1:11" x14ac:dyDescent="0.2">
      <c r="C117" s="12">
        <f>COUNTA(B16:B116)</f>
        <v>90</v>
      </c>
    </row>
    <row r="130" spans="11:11" x14ac:dyDescent="0.2">
      <c r="K130" s="12"/>
    </row>
  </sheetData>
  <sheetProtection selectLockedCells="1"/>
  <dataConsolidate/>
  <mergeCells count="4">
    <mergeCell ref="A1:E1"/>
    <mergeCell ref="A4:A7"/>
    <mergeCell ref="A8:A10"/>
    <mergeCell ref="A11:A13"/>
  </mergeCells>
  <phoneticPr fontId="10" type="noConversion"/>
  <dataValidations count="4">
    <dataValidation allowBlank="1" showInputMessage="1" showErrorMessage="1" error="Érvénytelen adat." sqref="J16:J116"/>
    <dataValidation type="list" allowBlank="1" showInputMessage="1" showErrorMessage="1" errorTitle="Hiba" error="Érvénytelen adat" sqref="B16:B116">
      <formula1>oktatói_fokozatok</formula1>
    </dataValidation>
    <dataValidation type="list" allowBlank="1" showInputMessage="1" sqref="C16:C116">
      <formula1>tanszékek</formula1>
    </dataValidation>
    <dataValidation type="list" allowBlank="1" showInputMessage="1" sqref="D16:D116">
      <formula1>"főállású, társult"</formula1>
    </dataValidation>
  </dataValidations>
  <pageMargins left="0.74803149606299202" right="0.74803149606299202" top="0.73" bottom="0.78" header="0.511811023622047" footer="0.511811023622047"/>
  <pageSetup paperSize="9" fitToHeight="3" orientation="landscape" horizontalDpi="1200" verticalDpi="1200" r:id="rId1"/>
  <headerFooter alignWithMargins="0">
    <oddHeader>&amp;R&amp;D, &amp;T</oddHeader>
    <oddFooter>&amp;L&amp;F
BIZALMAS&amp;C&amp;A&amp;R&amp;P/&amp;N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workbookViewId="0">
      <pane xSplit="1" ySplit="8" topLeftCell="C111" activePane="bottomRight" state="frozen"/>
      <selection activeCell="Z9" sqref="Z9:AA9"/>
      <selection pane="topRight" activeCell="Z9" sqref="Z9:AA9"/>
      <selection pane="bottomLeft" activeCell="Z9" sqref="Z9:AA9"/>
      <selection pane="bottomRight" activeCell="Z9" sqref="Z9:AA9"/>
    </sheetView>
  </sheetViews>
  <sheetFormatPr defaultColWidth="9.140625" defaultRowHeight="12.75" x14ac:dyDescent="0.2"/>
  <cols>
    <col min="1" max="1" width="26.85546875" style="3" customWidth="1"/>
    <col min="2" max="2" width="11.28515625" style="3" bestFit="1" customWidth="1"/>
    <col min="3" max="3" width="34" style="3" customWidth="1"/>
    <col min="4" max="5" width="10.140625" style="4" customWidth="1"/>
    <col min="6" max="6" width="10.28515625" style="4" customWidth="1"/>
    <col min="7" max="7" width="9.5703125" style="4" customWidth="1"/>
    <col min="8" max="8" width="10.5703125" style="3" customWidth="1"/>
    <col min="9" max="10" width="9.42578125" style="4" customWidth="1"/>
    <col min="11" max="11" width="9.42578125" style="3" customWidth="1"/>
    <col min="12" max="12" width="8.5703125" style="4" bestFit="1" customWidth="1"/>
    <col min="13" max="13" width="8" style="4" customWidth="1"/>
    <col min="14" max="14" width="8" style="3" customWidth="1"/>
    <col min="15" max="15" width="8" style="4" customWidth="1"/>
    <col min="16" max="16" width="10.5703125" style="3" customWidth="1"/>
    <col min="17" max="17" width="10.28515625" style="3" customWidth="1"/>
    <col min="18" max="16384" width="9.140625" style="3"/>
  </cols>
  <sheetData>
    <row r="1" spans="1:16" x14ac:dyDescent="0.2">
      <c r="A1" s="228" t="str">
        <f>Összesítő!B2</f>
        <v>EMTE - Marosvásárhelyi kar</v>
      </c>
    </row>
    <row r="2" spans="1:16" s="86" customFormat="1" ht="12.75" customHeight="1" thickBot="1" x14ac:dyDescent="0.25">
      <c r="A2" s="310" t="s">
        <v>83</v>
      </c>
      <c r="B2" s="310"/>
      <c r="C2" s="114">
        <f>SUM(C3:C5)</f>
        <v>897263</v>
      </c>
      <c r="D2" s="109"/>
      <c r="E2" s="110"/>
      <c r="I2" s="111"/>
      <c r="M2" s="112"/>
    </row>
    <row r="3" spans="1:16" s="12" customFormat="1" ht="12.75" customHeight="1" thickTop="1" x14ac:dyDescent="0.2">
      <c r="A3" s="52" t="s">
        <v>113</v>
      </c>
      <c r="B3" s="31"/>
      <c r="C3" s="115">
        <f>SUM(M10:M185)</f>
        <v>474940</v>
      </c>
      <c r="D3" s="31"/>
      <c r="E3" s="54"/>
      <c r="G3" s="56"/>
      <c r="H3" s="56"/>
      <c r="I3" s="57"/>
      <c r="M3" s="13"/>
    </row>
    <row r="4" spans="1:16" s="12" customFormat="1" ht="13.5" customHeight="1" x14ac:dyDescent="0.2">
      <c r="A4" s="52" t="s">
        <v>114</v>
      </c>
      <c r="B4" s="31"/>
      <c r="C4" s="115">
        <f>SUM(N10:N185)</f>
        <v>255785</v>
      </c>
      <c r="D4" s="31"/>
      <c r="E4" s="54"/>
      <c r="I4" s="58"/>
      <c r="J4" s="56"/>
      <c r="M4" s="13"/>
    </row>
    <row r="5" spans="1:16" s="12" customFormat="1" ht="13.5" customHeight="1" x14ac:dyDescent="0.2">
      <c r="A5" s="52" t="s">
        <v>115</v>
      </c>
      <c r="B5" s="31"/>
      <c r="C5" s="115">
        <f>SUM(O10:O185)</f>
        <v>166538</v>
      </c>
      <c r="D5" s="31"/>
      <c r="E5" s="54"/>
      <c r="I5" s="58"/>
      <c r="J5" s="56"/>
      <c r="M5" s="13"/>
    </row>
    <row r="6" spans="1:16" x14ac:dyDescent="0.2">
      <c r="L6" s="27"/>
      <c r="M6" s="27"/>
      <c r="P6" s="32"/>
    </row>
    <row r="7" spans="1:16" x14ac:dyDescent="0.2">
      <c r="D7" s="309" t="s">
        <v>133</v>
      </c>
      <c r="E7" s="309"/>
      <c r="L7" s="27"/>
      <c r="M7" s="27"/>
      <c r="P7" s="32"/>
    </row>
    <row r="8" spans="1:16" s="12" customFormat="1" ht="45" x14ac:dyDescent="0.2">
      <c r="A8" s="35" t="s">
        <v>116</v>
      </c>
      <c r="B8" s="35" t="s">
        <v>117</v>
      </c>
      <c r="C8" s="35" t="s">
        <v>0</v>
      </c>
      <c r="D8" s="35" t="s">
        <v>121</v>
      </c>
      <c r="E8" s="35" t="s">
        <v>122</v>
      </c>
      <c r="F8" s="35" t="s">
        <v>119</v>
      </c>
      <c r="G8" s="35" t="s">
        <v>123</v>
      </c>
      <c r="H8" s="35" t="s">
        <v>126</v>
      </c>
      <c r="I8" s="35" t="s">
        <v>124</v>
      </c>
      <c r="J8" s="35" t="s">
        <v>125</v>
      </c>
      <c r="K8" s="163" t="s">
        <v>354</v>
      </c>
      <c r="L8" s="35" t="s">
        <v>127</v>
      </c>
      <c r="M8" s="35" t="s">
        <v>128</v>
      </c>
      <c r="N8" s="35" t="s">
        <v>129</v>
      </c>
      <c r="O8" s="35" t="s">
        <v>130</v>
      </c>
      <c r="P8" s="34"/>
    </row>
    <row r="9" spans="1:16" s="12" customFormat="1" ht="11.25" x14ac:dyDescent="0.2">
      <c r="A9" s="166" t="s">
        <v>341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34"/>
    </row>
    <row r="10" spans="1:16" x14ac:dyDescent="0.2">
      <c r="A10" s="252" t="s">
        <v>408</v>
      </c>
      <c r="B10" s="252" t="s">
        <v>188</v>
      </c>
      <c r="C10" s="252" t="s">
        <v>371</v>
      </c>
      <c r="D10" s="218">
        <v>56</v>
      </c>
      <c r="E10" s="218">
        <v>98</v>
      </c>
      <c r="F10" s="218">
        <v>80</v>
      </c>
      <c r="G10" s="218">
        <v>5</v>
      </c>
      <c r="H10" s="36">
        <f>adatok!$B$12*G10</f>
        <v>75</v>
      </c>
      <c r="I10" s="37">
        <f t="shared" ref="I10:I60" si="0">VLOOKUP(B10,órabérek,2,FALSE)</f>
        <v>50</v>
      </c>
      <c r="J10" s="37">
        <f>MIN(VLOOKUP(B10,órabérek,2,FALSE),adatok!$B$5)</f>
        <v>45</v>
      </c>
      <c r="K10" s="37">
        <f>adatok!$B$5</f>
        <v>45</v>
      </c>
      <c r="L10" s="37">
        <f>D10*2*I10+E10*J10+INT(F10/3)*J10+H10*K10</f>
        <v>14555</v>
      </c>
      <c r="M10" s="37">
        <f>INT(L10*65%)</f>
        <v>9460</v>
      </c>
      <c r="N10" s="37">
        <f>L10-M10</f>
        <v>5095</v>
      </c>
      <c r="O10" s="37">
        <f t="shared" ref="O10:O60" si="1">INT(L10*adókulcs)</f>
        <v>3318</v>
      </c>
    </row>
    <row r="11" spans="1:16" ht="12.75" customHeight="1" x14ac:dyDescent="0.2">
      <c r="A11" s="253" t="s">
        <v>420</v>
      </c>
      <c r="B11" s="253" t="s">
        <v>81</v>
      </c>
      <c r="C11" s="252" t="s">
        <v>371</v>
      </c>
      <c r="D11" s="218">
        <v>42</v>
      </c>
      <c r="E11" s="218">
        <v>14</v>
      </c>
      <c r="F11" s="218">
        <v>25</v>
      </c>
      <c r="G11" s="218">
        <v>0</v>
      </c>
      <c r="H11" s="36">
        <f>adatok!$B$12*G11</f>
        <v>0</v>
      </c>
      <c r="I11" s="38">
        <f t="shared" si="0"/>
        <v>50</v>
      </c>
      <c r="J11" s="37">
        <f>MIN(VLOOKUP(B11,órabérek,2,FALSE),adatok!$B$5)</f>
        <v>45</v>
      </c>
      <c r="K11" s="37">
        <f>adatok!$B$5</f>
        <v>45</v>
      </c>
      <c r="L11" s="37">
        <f>D11*2*I11+E11*J11+INT(F11/3)*J11+H11*K11</f>
        <v>5190</v>
      </c>
      <c r="M11" s="38">
        <f t="shared" ref="M11:M104" si="2">INT(L11*65%)</f>
        <v>3373</v>
      </c>
      <c r="N11" s="38">
        <f t="shared" ref="N11:N104" si="3">L11-M11</f>
        <v>1817</v>
      </c>
      <c r="O11" s="38">
        <f t="shared" si="1"/>
        <v>1183</v>
      </c>
    </row>
    <row r="12" spans="1:16" ht="12.75" customHeight="1" x14ac:dyDescent="0.2">
      <c r="A12" s="216" t="s">
        <v>409</v>
      </c>
      <c r="B12" s="252" t="s">
        <v>188</v>
      </c>
      <c r="C12" s="252" t="s">
        <v>371</v>
      </c>
      <c r="D12" s="218">
        <v>0</v>
      </c>
      <c r="E12" s="218">
        <v>140</v>
      </c>
      <c r="F12" s="218">
        <v>0</v>
      </c>
      <c r="G12" s="218">
        <v>3</v>
      </c>
      <c r="H12" s="36">
        <f>adatok!$B$12*G12</f>
        <v>45</v>
      </c>
      <c r="I12" s="38">
        <f t="shared" si="0"/>
        <v>50</v>
      </c>
      <c r="J12" s="37">
        <f>MIN(VLOOKUP(B12,órabérek,2,FALSE),adatok!$B$5)</f>
        <v>45</v>
      </c>
      <c r="K12" s="37">
        <f>adatok!$B$5</f>
        <v>45</v>
      </c>
      <c r="L12" s="37">
        <f t="shared" ref="L12:L104" si="4">D12*2*I12+E12*J12+INT(F12/3)*J12+H12*K12</f>
        <v>8325</v>
      </c>
      <c r="M12" s="38">
        <f t="shared" si="2"/>
        <v>5411</v>
      </c>
      <c r="N12" s="38">
        <f t="shared" si="3"/>
        <v>2914</v>
      </c>
      <c r="O12" s="38">
        <f t="shared" si="1"/>
        <v>1898</v>
      </c>
    </row>
    <row r="13" spans="1:16" ht="12.75" customHeight="1" x14ac:dyDescent="0.2">
      <c r="A13" s="216" t="s">
        <v>601</v>
      </c>
      <c r="B13" s="252" t="s">
        <v>188</v>
      </c>
      <c r="C13" s="252" t="s">
        <v>371</v>
      </c>
      <c r="D13" s="218">
        <v>0</v>
      </c>
      <c r="E13" s="218">
        <v>42</v>
      </c>
      <c r="F13" s="218">
        <v>0</v>
      </c>
      <c r="G13" s="218">
        <v>0</v>
      </c>
      <c r="H13" s="36">
        <f>adatok!$B$12*G13</f>
        <v>0</v>
      </c>
      <c r="I13" s="38">
        <f t="shared" si="0"/>
        <v>50</v>
      </c>
      <c r="J13" s="37">
        <f>MIN(VLOOKUP(B13,órabérek,2,FALSE),adatok!$B$5)</f>
        <v>45</v>
      </c>
      <c r="K13" s="37">
        <f>adatok!$B$5</f>
        <v>45</v>
      </c>
      <c r="L13" s="37">
        <f t="shared" si="4"/>
        <v>1890</v>
      </c>
      <c r="M13" s="38">
        <f t="shared" si="2"/>
        <v>1228</v>
      </c>
      <c r="N13" s="38">
        <f t="shared" si="3"/>
        <v>662</v>
      </c>
      <c r="O13" s="38">
        <f t="shared" si="1"/>
        <v>430</v>
      </c>
    </row>
    <row r="14" spans="1:16" ht="12.75" customHeight="1" x14ac:dyDescent="0.2">
      <c r="A14" s="216" t="s">
        <v>602</v>
      </c>
      <c r="B14" s="252" t="s">
        <v>188</v>
      </c>
      <c r="C14" s="252" t="s">
        <v>371</v>
      </c>
      <c r="D14" s="218">
        <v>42</v>
      </c>
      <c r="E14" s="218">
        <v>70</v>
      </c>
      <c r="F14" s="218">
        <v>30</v>
      </c>
      <c r="G14" s="218">
        <v>1</v>
      </c>
      <c r="H14" s="36">
        <f>adatok!$B$12*G14</f>
        <v>15</v>
      </c>
      <c r="I14" s="38">
        <f t="shared" si="0"/>
        <v>50</v>
      </c>
      <c r="J14" s="37">
        <f>MIN(VLOOKUP(B14,órabérek,2,FALSE),adatok!$B$5)</f>
        <v>45</v>
      </c>
      <c r="K14" s="37">
        <f>adatok!$B$5</f>
        <v>45</v>
      </c>
      <c r="L14" s="37">
        <f t="shared" si="4"/>
        <v>8475</v>
      </c>
      <c r="M14" s="38">
        <f t="shared" si="2"/>
        <v>5508</v>
      </c>
      <c r="N14" s="38">
        <f t="shared" si="3"/>
        <v>2967</v>
      </c>
      <c r="O14" s="38">
        <f t="shared" si="1"/>
        <v>1932</v>
      </c>
    </row>
    <row r="15" spans="1:16" ht="12.75" customHeight="1" x14ac:dyDescent="0.2">
      <c r="A15" s="216" t="s">
        <v>413</v>
      </c>
      <c r="B15" s="216" t="s">
        <v>186</v>
      </c>
      <c r="C15" s="252" t="s">
        <v>371</v>
      </c>
      <c r="D15" s="218">
        <v>84</v>
      </c>
      <c r="E15" s="218">
        <v>56</v>
      </c>
      <c r="F15" s="218">
        <v>80</v>
      </c>
      <c r="G15" s="218">
        <v>0</v>
      </c>
      <c r="H15" s="36">
        <f>adatok!$B$12*G15</f>
        <v>0</v>
      </c>
      <c r="I15" s="38">
        <f t="shared" ref="I15:I33" si="5">VLOOKUP(B15,órabérek,2,FALSE)</f>
        <v>45</v>
      </c>
      <c r="J15" s="37">
        <f>MIN(VLOOKUP(B15,órabérek,2,FALSE),adatok!$B$5)</f>
        <v>45</v>
      </c>
      <c r="K15" s="37">
        <f>adatok!$B$5</f>
        <v>45</v>
      </c>
      <c r="L15" s="37">
        <f t="shared" ref="L15:L33" si="6">D15*2*I15+E15*J15+INT(F15/3)*J15+H15*K15</f>
        <v>11250</v>
      </c>
      <c r="M15" s="38">
        <f t="shared" ref="M15:M33" si="7">INT(L15*65%)</f>
        <v>7312</v>
      </c>
      <c r="N15" s="38">
        <f t="shared" ref="N15:N33" si="8">L15-M15</f>
        <v>3938</v>
      </c>
      <c r="O15" s="38">
        <f t="shared" ref="O15:O33" si="9">INT(L15*adókulcs)</f>
        <v>2565</v>
      </c>
    </row>
    <row r="16" spans="1:16" ht="12.75" customHeight="1" x14ac:dyDescent="0.2">
      <c r="A16" s="253" t="s">
        <v>603</v>
      </c>
      <c r="B16" s="216" t="s">
        <v>186</v>
      </c>
      <c r="C16" s="252" t="s">
        <v>371</v>
      </c>
      <c r="D16" s="218">
        <v>42</v>
      </c>
      <c r="E16" s="218">
        <v>42</v>
      </c>
      <c r="F16" s="218">
        <v>20</v>
      </c>
      <c r="G16" s="218">
        <v>1</v>
      </c>
      <c r="H16" s="36">
        <f>adatok!$B$12*G16</f>
        <v>15</v>
      </c>
      <c r="I16" s="38">
        <f t="shared" si="5"/>
        <v>45</v>
      </c>
      <c r="J16" s="37">
        <f>MIN(VLOOKUP(B16,órabérek,2,FALSE),adatok!$B$5)</f>
        <v>45</v>
      </c>
      <c r="K16" s="37">
        <f>adatok!$B$5</f>
        <v>45</v>
      </c>
      <c r="L16" s="37">
        <f t="shared" si="6"/>
        <v>6615</v>
      </c>
      <c r="M16" s="38">
        <f t="shared" si="7"/>
        <v>4299</v>
      </c>
      <c r="N16" s="38">
        <f t="shared" si="8"/>
        <v>2316</v>
      </c>
      <c r="O16" s="38">
        <f t="shared" si="9"/>
        <v>1508</v>
      </c>
    </row>
    <row r="17" spans="1:15" ht="12.75" customHeight="1" x14ac:dyDescent="0.2">
      <c r="A17" s="216" t="s">
        <v>422</v>
      </c>
      <c r="B17" s="216" t="s">
        <v>186</v>
      </c>
      <c r="C17" s="252" t="s">
        <v>371</v>
      </c>
      <c r="D17" s="218">
        <v>0</v>
      </c>
      <c r="E17" s="218">
        <v>168</v>
      </c>
      <c r="F17" s="218">
        <v>23</v>
      </c>
      <c r="G17" s="218">
        <v>3</v>
      </c>
      <c r="H17" s="36">
        <f>adatok!$B$12*G17</f>
        <v>45</v>
      </c>
      <c r="I17" s="38">
        <f t="shared" si="5"/>
        <v>45</v>
      </c>
      <c r="J17" s="37">
        <f>MIN(VLOOKUP(B17,órabérek,2,FALSE),adatok!$B$5)</f>
        <v>45</v>
      </c>
      <c r="K17" s="37">
        <f>adatok!$B$5</f>
        <v>45</v>
      </c>
      <c r="L17" s="37">
        <f t="shared" si="6"/>
        <v>9900</v>
      </c>
      <c r="M17" s="38">
        <f t="shared" si="7"/>
        <v>6435</v>
      </c>
      <c r="N17" s="38">
        <f t="shared" si="8"/>
        <v>3465</v>
      </c>
      <c r="O17" s="38">
        <f t="shared" si="9"/>
        <v>2257</v>
      </c>
    </row>
    <row r="18" spans="1:15" ht="12.75" customHeight="1" x14ac:dyDescent="0.2">
      <c r="A18" s="216" t="s">
        <v>604</v>
      </c>
      <c r="B18" s="216" t="s">
        <v>186</v>
      </c>
      <c r="C18" s="252" t="s">
        <v>371</v>
      </c>
      <c r="D18" s="218">
        <v>0</v>
      </c>
      <c r="E18" s="218">
        <v>154</v>
      </c>
      <c r="F18" s="218">
        <v>0</v>
      </c>
      <c r="G18" s="218">
        <v>2</v>
      </c>
      <c r="H18" s="36">
        <f>adatok!$B$12*G18</f>
        <v>30</v>
      </c>
      <c r="I18" s="38">
        <f t="shared" si="5"/>
        <v>45</v>
      </c>
      <c r="J18" s="37">
        <f>MIN(VLOOKUP(B18,órabérek,2,FALSE),adatok!$B$5)</f>
        <v>45</v>
      </c>
      <c r="K18" s="37">
        <f>adatok!$B$5</f>
        <v>45</v>
      </c>
      <c r="L18" s="37">
        <f t="shared" si="6"/>
        <v>8280</v>
      </c>
      <c r="M18" s="38">
        <f t="shared" si="7"/>
        <v>5382</v>
      </c>
      <c r="N18" s="38">
        <f t="shared" si="8"/>
        <v>2898</v>
      </c>
      <c r="O18" s="38">
        <f t="shared" si="9"/>
        <v>1887</v>
      </c>
    </row>
    <row r="19" spans="1:15" ht="12.75" customHeight="1" x14ac:dyDescent="0.2">
      <c r="A19" s="216" t="s">
        <v>414</v>
      </c>
      <c r="B19" s="216" t="s">
        <v>186</v>
      </c>
      <c r="C19" s="252" t="s">
        <v>371</v>
      </c>
      <c r="D19" s="218">
        <v>0</v>
      </c>
      <c r="E19" s="218">
        <v>84</v>
      </c>
      <c r="F19" s="218">
        <v>0</v>
      </c>
      <c r="G19" s="218">
        <v>3</v>
      </c>
      <c r="H19" s="36">
        <f>adatok!$B$12*G19</f>
        <v>45</v>
      </c>
      <c r="I19" s="38">
        <f t="shared" si="5"/>
        <v>45</v>
      </c>
      <c r="J19" s="37">
        <f>MIN(VLOOKUP(B19,órabérek,2,FALSE),adatok!$B$5)</f>
        <v>45</v>
      </c>
      <c r="K19" s="37">
        <f>adatok!$B$5</f>
        <v>45</v>
      </c>
      <c r="L19" s="37">
        <f t="shared" si="6"/>
        <v>5805</v>
      </c>
      <c r="M19" s="38">
        <f t="shared" si="7"/>
        <v>3773</v>
      </c>
      <c r="N19" s="38">
        <f t="shared" si="8"/>
        <v>2032</v>
      </c>
      <c r="O19" s="38">
        <f t="shared" si="9"/>
        <v>1323</v>
      </c>
    </row>
    <row r="20" spans="1:15" ht="12.75" customHeight="1" x14ac:dyDescent="0.2">
      <c r="A20" s="216" t="s">
        <v>605</v>
      </c>
      <c r="B20" s="216" t="s">
        <v>186</v>
      </c>
      <c r="C20" s="252" t="s">
        <v>371</v>
      </c>
      <c r="D20" s="218">
        <v>0</v>
      </c>
      <c r="E20" s="218">
        <v>140</v>
      </c>
      <c r="F20" s="218">
        <v>0</v>
      </c>
      <c r="G20" s="218">
        <v>1</v>
      </c>
      <c r="H20" s="36">
        <f>adatok!$B$12*G20</f>
        <v>15</v>
      </c>
      <c r="I20" s="38">
        <f t="shared" si="5"/>
        <v>45</v>
      </c>
      <c r="J20" s="37">
        <f>MIN(VLOOKUP(B20,órabérek,2,FALSE),adatok!$B$5)</f>
        <v>45</v>
      </c>
      <c r="K20" s="37">
        <f>adatok!$B$5</f>
        <v>45</v>
      </c>
      <c r="L20" s="37">
        <f t="shared" si="6"/>
        <v>6975</v>
      </c>
      <c r="M20" s="38">
        <f t="shared" si="7"/>
        <v>4533</v>
      </c>
      <c r="N20" s="38">
        <f t="shared" si="8"/>
        <v>2442</v>
      </c>
      <c r="O20" s="38">
        <f t="shared" si="9"/>
        <v>1590</v>
      </c>
    </row>
    <row r="21" spans="1:15" ht="12.75" customHeight="1" x14ac:dyDescent="0.2">
      <c r="A21" s="216" t="s">
        <v>412</v>
      </c>
      <c r="B21" s="216" t="s">
        <v>186</v>
      </c>
      <c r="C21" s="252" t="s">
        <v>371</v>
      </c>
      <c r="D21" s="218">
        <v>0</v>
      </c>
      <c r="E21" s="218">
        <v>182</v>
      </c>
      <c r="F21" s="218">
        <v>0</v>
      </c>
      <c r="G21" s="218">
        <v>3</v>
      </c>
      <c r="H21" s="36">
        <f>adatok!$B$12*G21</f>
        <v>45</v>
      </c>
      <c r="I21" s="38">
        <f t="shared" si="5"/>
        <v>45</v>
      </c>
      <c r="J21" s="37">
        <f>MIN(VLOOKUP(B21,órabérek,2,FALSE),adatok!$B$5)</f>
        <v>45</v>
      </c>
      <c r="K21" s="37">
        <f>adatok!$B$5</f>
        <v>45</v>
      </c>
      <c r="L21" s="37">
        <f t="shared" si="6"/>
        <v>10215</v>
      </c>
      <c r="M21" s="38">
        <f t="shared" si="7"/>
        <v>6639</v>
      </c>
      <c r="N21" s="38">
        <f t="shared" si="8"/>
        <v>3576</v>
      </c>
      <c r="O21" s="38">
        <f t="shared" si="9"/>
        <v>2329</v>
      </c>
    </row>
    <row r="22" spans="1:15" ht="12.75" customHeight="1" x14ac:dyDescent="0.2">
      <c r="A22" s="216" t="s">
        <v>418</v>
      </c>
      <c r="B22" s="216" t="s">
        <v>183</v>
      </c>
      <c r="C22" s="252" t="s">
        <v>371</v>
      </c>
      <c r="D22" s="218">
        <v>0</v>
      </c>
      <c r="E22" s="218">
        <v>28</v>
      </c>
      <c r="F22" s="218">
        <v>0</v>
      </c>
      <c r="G22" s="218">
        <v>0</v>
      </c>
      <c r="H22" s="36">
        <f>adatok!$B$12*G22</f>
        <v>0</v>
      </c>
      <c r="I22" s="38">
        <f t="shared" si="5"/>
        <v>35</v>
      </c>
      <c r="J22" s="37">
        <f>MIN(VLOOKUP(B22,órabérek,2,FALSE),adatok!$B$5)</f>
        <v>35</v>
      </c>
      <c r="K22" s="37">
        <f>adatok!$B$5</f>
        <v>45</v>
      </c>
      <c r="L22" s="37">
        <f t="shared" si="6"/>
        <v>980</v>
      </c>
      <c r="M22" s="38">
        <f t="shared" si="7"/>
        <v>637</v>
      </c>
      <c r="N22" s="38">
        <f t="shared" si="8"/>
        <v>343</v>
      </c>
      <c r="O22" s="38">
        <f t="shared" si="9"/>
        <v>223</v>
      </c>
    </row>
    <row r="23" spans="1:15" ht="12.75" customHeight="1" x14ac:dyDescent="0.2">
      <c r="A23" s="216" t="s">
        <v>423</v>
      </c>
      <c r="B23" s="216" t="s">
        <v>186</v>
      </c>
      <c r="C23" s="252" t="s">
        <v>371</v>
      </c>
      <c r="D23" s="218">
        <v>14</v>
      </c>
      <c r="E23" s="218">
        <v>70</v>
      </c>
      <c r="F23" s="218">
        <v>0</v>
      </c>
      <c r="G23" s="218">
        <v>0</v>
      </c>
      <c r="H23" s="36">
        <f>adatok!$B$12*G23</f>
        <v>0</v>
      </c>
      <c r="I23" s="38">
        <f t="shared" si="5"/>
        <v>45</v>
      </c>
      <c r="J23" s="37">
        <f>MIN(VLOOKUP(B23,órabérek,2,FALSE),adatok!$B$5)</f>
        <v>45</v>
      </c>
      <c r="K23" s="37">
        <f>adatok!$B$5</f>
        <v>45</v>
      </c>
      <c r="L23" s="37">
        <f t="shared" si="6"/>
        <v>4410</v>
      </c>
      <c r="M23" s="38">
        <f t="shared" si="7"/>
        <v>2866</v>
      </c>
      <c r="N23" s="38">
        <f t="shared" si="8"/>
        <v>1544</v>
      </c>
      <c r="O23" s="38">
        <f t="shared" si="9"/>
        <v>1005</v>
      </c>
    </row>
    <row r="24" spans="1:15" ht="12.75" customHeight="1" x14ac:dyDescent="0.2">
      <c r="A24" s="216" t="s">
        <v>606</v>
      </c>
      <c r="B24" s="216" t="s">
        <v>183</v>
      </c>
      <c r="C24" s="252" t="s">
        <v>371</v>
      </c>
      <c r="D24" s="218">
        <v>0</v>
      </c>
      <c r="E24" s="218">
        <v>56</v>
      </c>
      <c r="F24" s="218">
        <v>0</v>
      </c>
      <c r="G24" s="218">
        <v>0</v>
      </c>
      <c r="H24" s="36">
        <f>adatok!$B$12*G24</f>
        <v>0</v>
      </c>
      <c r="I24" s="38">
        <f t="shared" si="5"/>
        <v>35</v>
      </c>
      <c r="J24" s="37">
        <f>MIN(VLOOKUP(B24,órabérek,2,FALSE),adatok!$B$5)</f>
        <v>35</v>
      </c>
      <c r="K24" s="37">
        <f>adatok!$B$5</f>
        <v>45</v>
      </c>
      <c r="L24" s="37">
        <f t="shared" si="6"/>
        <v>1960</v>
      </c>
      <c r="M24" s="38">
        <f t="shared" si="7"/>
        <v>1274</v>
      </c>
      <c r="N24" s="38">
        <f t="shared" si="8"/>
        <v>686</v>
      </c>
      <c r="O24" s="38">
        <f t="shared" si="9"/>
        <v>446</v>
      </c>
    </row>
    <row r="25" spans="1:15" ht="12.75" customHeight="1" x14ac:dyDescent="0.2">
      <c r="A25" s="216" t="s">
        <v>440</v>
      </c>
      <c r="B25" s="216" t="s">
        <v>186</v>
      </c>
      <c r="C25" s="216" t="s">
        <v>174</v>
      </c>
      <c r="D25" s="218">
        <v>28</v>
      </c>
      <c r="E25" s="218">
        <v>14</v>
      </c>
      <c r="F25" s="218"/>
      <c r="G25" s="218"/>
      <c r="H25" s="36">
        <f>adatok!$B$12*G25</f>
        <v>0</v>
      </c>
      <c r="I25" s="38">
        <f t="shared" si="5"/>
        <v>45</v>
      </c>
      <c r="J25" s="37">
        <f>MIN(VLOOKUP(B25,órabérek,2,FALSE),adatok!$B$5)</f>
        <v>45</v>
      </c>
      <c r="K25" s="37">
        <f>adatok!$B$5</f>
        <v>45</v>
      </c>
      <c r="L25" s="37">
        <f t="shared" si="6"/>
        <v>3150</v>
      </c>
      <c r="M25" s="38">
        <f t="shared" si="7"/>
        <v>2047</v>
      </c>
      <c r="N25" s="38">
        <f t="shared" si="8"/>
        <v>1103</v>
      </c>
      <c r="O25" s="38">
        <f t="shared" si="9"/>
        <v>718</v>
      </c>
    </row>
    <row r="26" spans="1:15" ht="12.75" customHeight="1" x14ac:dyDescent="0.2">
      <c r="A26" s="216" t="s">
        <v>435</v>
      </c>
      <c r="B26" s="216" t="s">
        <v>188</v>
      </c>
      <c r="C26" s="216" t="s">
        <v>174</v>
      </c>
      <c r="D26" s="218"/>
      <c r="E26" s="218">
        <v>98</v>
      </c>
      <c r="F26" s="218"/>
      <c r="G26" s="218"/>
      <c r="H26" s="36">
        <f>adatok!$B$12*G26</f>
        <v>0</v>
      </c>
      <c r="I26" s="38">
        <f t="shared" si="5"/>
        <v>50</v>
      </c>
      <c r="J26" s="37">
        <f>MIN(VLOOKUP(B26,órabérek,2,FALSE),adatok!$B$5)</f>
        <v>45</v>
      </c>
      <c r="K26" s="37">
        <f>adatok!$B$5</f>
        <v>45</v>
      </c>
      <c r="L26" s="37">
        <f t="shared" si="6"/>
        <v>4410</v>
      </c>
      <c r="M26" s="38">
        <f t="shared" si="7"/>
        <v>2866</v>
      </c>
      <c r="N26" s="38">
        <f t="shared" si="8"/>
        <v>1544</v>
      </c>
      <c r="O26" s="38">
        <f t="shared" si="9"/>
        <v>1005</v>
      </c>
    </row>
    <row r="27" spans="1:15" ht="12.75" customHeight="1" x14ac:dyDescent="0.2">
      <c r="A27" s="216" t="s">
        <v>615</v>
      </c>
      <c r="B27" s="216" t="s">
        <v>188</v>
      </c>
      <c r="C27" s="216" t="s">
        <v>174</v>
      </c>
      <c r="D27" s="218">
        <v>28</v>
      </c>
      <c r="E27" s="218">
        <v>56</v>
      </c>
      <c r="F27" s="218"/>
      <c r="G27" s="218"/>
      <c r="H27" s="36">
        <f>adatok!$B$12*G27</f>
        <v>0</v>
      </c>
      <c r="I27" s="38">
        <f t="shared" si="5"/>
        <v>50</v>
      </c>
      <c r="J27" s="37">
        <f>MIN(VLOOKUP(B27,órabérek,2,FALSE),adatok!$B$5)</f>
        <v>45</v>
      </c>
      <c r="K27" s="37">
        <f>adatok!$B$5</f>
        <v>45</v>
      </c>
      <c r="L27" s="37">
        <f t="shared" si="6"/>
        <v>5320</v>
      </c>
      <c r="M27" s="38">
        <f t="shared" si="7"/>
        <v>3458</v>
      </c>
      <c r="N27" s="38">
        <f t="shared" si="8"/>
        <v>1862</v>
      </c>
      <c r="O27" s="38">
        <f t="shared" si="9"/>
        <v>1212</v>
      </c>
    </row>
    <row r="28" spans="1:15" ht="12.75" customHeight="1" x14ac:dyDescent="0.2">
      <c r="A28" s="216" t="s">
        <v>616</v>
      </c>
      <c r="B28" s="216" t="s">
        <v>81</v>
      </c>
      <c r="C28" s="216" t="s">
        <v>174</v>
      </c>
      <c r="D28" s="218">
        <v>0</v>
      </c>
      <c r="E28" s="218">
        <v>0</v>
      </c>
      <c r="F28" s="218"/>
      <c r="G28" s="218"/>
      <c r="H28" s="36">
        <f>adatok!$B$12*G28</f>
        <v>0</v>
      </c>
      <c r="I28" s="38">
        <f t="shared" si="5"/>
        <v>50</v>
      </c>
      <c r="J28" s="37">
        <f>MIN(VLOOKUP(B28,órabérek,2,FALSE),adatok!$B$5)</f>
        <v>45</v>
      </c>
      <c r="K28" s="37">
        <f>adatok!$B$5</f>
        <v>45</v>
      </c>
      <c r="L28" s="37">
        <f t="shared" si="6"/>
        <v>0</v>
      </c>
      <c r="M28" s="38">
        <f t="shared" si="7"/>
        <v>0</v>
      </c>
      <c r="N28" s="38">
        <f t="shared" si="8"/>
        <v>0</v>
      </c>
      <c r="O28" s="38">
        <f t="shared" si="9"/>
        <v>0</v>
      </c>
    </row>
    <row r="29" spans="1:15" ht="12.75" customHeight="1" x14ac:dyDescent="0.2">
      <c r="A29" s="216" t="s">
        <v>441</v>
      </c>
      <c r="B29" s="216" t="s">
        <v>186</v>
      </c>
      <c r="C29" s="216" t="s">
        <v>174</v>
      </c>
      <c r="D29" s="218">
        <v>42</v>
      </c>
      <c r="E29" s="218"/>
      <c r="F29" s="218"/>
      <c r="G29" s="218"/>
      <c r="H29" s="36">
        <f>adatok!$B$12*G29</f>
        <v>0</v>
      </c>
      <c r="I29" s="38">
        <f t="shared" si="5"/>
        <v>45</v>
      </c>
      <c r="J29" s="37">
        <f>MIN(VLOOKUP(B29,órabérek,2,FALSE),adatok!$B$5)</f>
        <v>45</v>
      </c>
      <c r="K29" s="37">
        <f>adatok!$B$5</f>
        <v>45</v>
      </c>
      <c r="L29" s="37">
        <f t="shared" si="6"/>
        <v>3780</v>
      </c>
      <c r="M29" s="38">
        <f t="shared" si="7"/>
        <v>2457</v>
      </c>
      <c r="N29" s="38">
        <f t="shared" si="8"/>
        <v>1323</v>
      </c>
      <c r="O29" s="38">
        <f t="shared" si="9"/>
        <v>861</v>
      </c>
    </row>
    <row r="30" spans="1:15" ht="12.75" customHeight="1" x14ac:dyDescent="0.2">
      <c r="A30" s="216" t="s">
        <v>617</v>
      </c>
      <c r="B30" s="216" t="s">
        <v>186</v>
      </c>
      <c r="C30" s="216" t="s">
        <v>174</v>
      </c>
      <c r="D30" s="218"/>
      <c r="E30" s="218">
        <v>126</v>
      </c>
      <c r="F30" s="218"/>
      <c r="G30" s="218"/>
      <c r="H30" s="36">
        <f>adatok!$B$12*G30</f>
        <v>0</v>
      </c>
      <c r="I30" s="38">
        <f t="shared" si="5"/>
        <v>45</v>
      </c>
      <c r="J30" s="37">
        <f>MIN(VLOOKUP(B30,órabérek,2,FALSE),adatok!$B$5)</f>
        <v>45</v>
      </c>
      <c r="K30" s="37">
        <f>adatok!$B$5</f>
        <v>45</v>
      </c>
      <c r="L30" s="37">
        <f t="shared" si="6"/>
        <v>5670</v>
      </c>
      <c r="M30" s="38">
        <f t="shared" si="7"/>
        <v>3685</v>
      </c>
      <c r="N30" s="38">
        <f t="shared" si="8"/>
        <v>1985</v>
      </c>
      <c r="O30" s="38">
        <f t="shared" si="9"/>
        <v>1292</v>
      </c>
    </row>
    <row r="31" spans="1:15" ht="12.75" customHeight="1" x14ac:dyDescent="0.2">
      <c r="A31" s="216" t="s">
        <v>442</v>
      </c>
      <c r="B31" s="216" t="s">
        <v>186</v>
      </c>
      <c r="C31" s="216" t="s">
        <v>174</v>
      </c>
      <c r="D31" s="218">
        <v>42</v>
      </c>
      <c r="E31" s="218">
        <v>28</v>
      </c>
      <c r="F31" s="218"/>
      <c r="G31" s="218"/>
      <c r="H31" s="36">
        <f>adatok!$B$12*G31</f>
        <v>0</v>
      </c>
      <c r="I31" s="38">
        <f t="shared" si="5"/>
        <v>45</v>
      </c>
      <c r="J31" s="37">
        <f>MIN(VLOOKUP(B31,órabérek,2,FALSE),adatok!$B$5)</f>
        <v>45</v>
      </c>
      <c r="K31" s="37">
        <f>adatok!$B$5</f>
        <v>45</v>
      </c>
      <c r="L31" s="37">
        <f t="shared" si="6"/>
        <v>5040</v>
      </c>
      <c r="M31" s="38">
        <f t="shared" si="7"/>
        <v>3276</v>
      </c>
      <c r="N31" s="38">
        <f t="shared" si="8"/>
        <v>1764</v>
      </c>
      <c r="O31" s="38">
        <f t="shared" si="9"/>
        <v>1149</v>
      </c>
    </row>
    <row r="32" spans="1:15" ht="12.75" customHeight="1" x14ac:dyDescent="0.2">
      <c r="A32" s="216" t="s">
        <v>618</v>
      </c>
      <c r="B32" s="216" t="s">
        <v>81</v>
      </c>
      <c r="C32" s="216" t="s">
        <v>174</v>
      </c>
      <c r="D32" s="218">
        <v>42</v>
      </c>
      <c r="E32" s="218"/>
      <c r="F32" s="218"/>
      <c r="G32" s="218"/>
      <c r="H32" s="36">
        <f>adatok!$B$12*G32</f>
        <v>0</v>
      </c>
      <c r="I32" s="38">
        <f t="shared" si="5"/>
        <v>50</v>
      </c>
      <c r="J32" s="37">
        <f>MIN(VLOOKUP(B32,órabérek,2,FALSE),adatok!$B$5)</f>
        <v>45</v>
      </c>
      <c r="K32" s="37">
        <f>adatok!$B$5</f>
        <v>45</v>
      </c>
      <c r="L32" s="37">
        <f t="shared" si="6"/>
        <v>4200</v>
      </c>
      <c r="M32" s="38">
        <f t="shared" si="7"/>
        <v>2730</v>
      </c>
      <c r="N32" s="38">
        <f t="shared" si="8"/>
        <v>1470</v>
      </c>
      <c r="O32" s="38">
        <f t="shared" si="9"/>
        <v>957</v>
      </c>
    </row>
    <row r="33" spans="1:15" ht="12.75" customHeight="1" x14ac:dyDescent="0.2">
      <c r="A33" s="216" t="s">
        <v>437</v>
      </c>
      <c r="B33" s="216" t="s">
        <v>188</v>
      </c>
      <c r="C33" s="216" t="s">
        <v>174</v>
      </c>
      <c r="D33" s="218">
        <v>28</v>
      </c>
      <c r="E33" s="218">
        <v>140</v>
      </c>
      <c r="F33" s="218"/>
      <c r="G33" s="218"/>
      <c r="H33" s="36">
        <f>adatok!$B$12*G33</f>
        <v>0</v>
      </c>
      <c r="I33" s="38">
        <f t="shared" si="5"/>
        <v>50</v>
      </c>
      <c r="J33" s="37">
        <f>MIN(VLOOKUP(B33,órabérek,2,FALSE),adatok!$B$5)</f>
        <v>45</v>
      </c>
      <c r="K33" s="37">
        <f>adatok!$B$5</f>
        <v>45</v>
      </c>
      <c r="L33" s="37">
        <f t="shared" si="6"/>
        <v>9100</v>
      </c>
      <c r="M33" s="38">
        <f t="shared" si="7"/>
        <v>5915</v>
      </c>
      <c r="N33" s="38">
        <f t="shared" si="8"/>
        <v>3185</v>
      </c>
      <c r="O33" s="38">
        <f t="shared" si="9"/>
        <v>2074</v>
      </c>
    </row>
    <row r="34" spans="1:15" ht="12.75" customHeight="1" x14ac:dyDescent="0.2">
      <c r="A34" s="216" t="s">
        <v>438</v>
      </c>
      <c r="B34" s="216" t="s">
        <v>188</v>
      </c>
      <c r="C34" s="216" t="s">
        <v>174</v>
      </c>
      <c r="D34" s="218">
        <v>28</v>
      </c>
      <c r="E34" s="218"/>
      <c r="F34" s="218"/>
      <c r="G34" s="218"/>
      <c r="H34" s="36">
        <f>adatok!$B$12*G34</f>
        <v>0</v>
      </c>
      <c r="I34" s="38">
        <f t="shared" si="0"/>
        <v>50</v>
      </c>
      <c r="J34" s="37">
        <f>MIN(VLOOKUP(B34,órabérek,2,FALSE),adatok!$B$5)</f>
        <v>45</v>
      </c>
      <c r="K34" s="37">
        <f>adatok!$B$5</f>
        <v>45</v>
      </c>
      <c r="L34" s="37">
        <f t="shared" si="4"/>
        <v>2800</v>
      </c>
      <c r="M34" s="38">
        <f t="shared" si="2"/>
        <v>1820</v>
      </c>
      <c r="N34" s="38">
        <f t="shared" si="3"/>
        <v>980</v>
      </c>
      <c r="O34" s="38">
        <f t="shared" si="1"/>
        <v>638</v>
      </c>
    </row>
    <row r="35" spans="1:15" ht="12.75" customHeight="1" x14ac:dyDescent="0.2">
      <c r="A35" s="216" t="s">
        <v>619</v>
      </c>
      <c r="B35" s="216" t="s">
        <v>188</v>
      </c>
      <c r="C35" s="216" t="s">
        <v>174</v>
      </c>
      <c r="D35" s="218">
        <v>0</v>
      </c>
      <c r="E35" s="218">
        <v>0</v>
      </c>
      <c r="F35" s="218"/>
      <c r="G35" s="218"/>
      <c r="H35" s="36">
        <f>adatok!$B$12*G35</f>
        <v>0</v>
      </c>
      <c r="I35" s="38">
        <f t="shared" si="0"/>
        <v>50</v>
      </c>
      <c r="J35" s="37">
        <f>MIN(VLOOKUP(B35,órabérek,2,FALSE),adatok!$B$5)</f>
        <v>45</v>
      </c>
      <c r="K35" s="37">
        <f>adatok!$B$5</f>
        <v>45</v>
      </c>
      <c r="L35" s="37">
        <f t="shared" si="4"/>
        <v>0</v>
      </c>
      <c r="M35" s="38">
        <f t="shared" si="2"/>
        <v>0</v>
      </c>
      <c r="N35" s="38">
        <f t="shared" si="3"/>
        <v>0</v>
      </c>
      <c r="O35" s="38">
        <f t="shared" si="1"/>
        <v>0</v>
      </c>
    </row>
    <row r="36" spans="1:15" ht="12.75" customHeight="1" x14ac:dyDescent="0.2">
      <c r="A36" s="216" t="s">
        <v>444</v>
      </c>
      <c r="B36" s="216" t="s">
        <v>186</v>
      </c>
      <c r="C36" s="216" t="s">
        <v>174</v>
      </c>
      <c r="D36" s="218"/>
      <c r="E36" s="218">
        <v>112</v>
      </c>
      <c r="F36" s="218"/>
      <c r="G36" s="218"/>
      <c r="H36" s="36">
        <f>adatok!$B$12*G36</f>
        <v>0</v>
      </c>
      <c r="I36" s="38">
        <f t="shared" si="0"/>
        <v>45</v>
      </c>
      <c r="J36" s="37">
        <f>MIN(VLOOKUP(B36,órabérek,2,FALSE),adatok!$B$5)</f>
        <v>45</v>
      </c>
      <c r="K36" s="37">
        <f>adatok!$B$5</f>
        <v>45</v>
      </c>
      <c r="L36" s="37">
        <f t="shared" si="4"/>
        <v>5040</v>
      </c>
      <c r="M36" s="38">
        <f t="shared" si="2"/>
        <v>3276</v>
      </c>
      <c r="N36" s="38">
        <f t="shared" si="3"/>
        <v>1764</v>
      </c>
      <c r="O36" s="38">
        <f t="shared" si="1"/>
        <v>1149</v>
      </c>
    </row>
    <row r="37" spans="1:15" ht="12.75" customHeight="1" x14ac:dyDescent="0.2">
      <c r="A37" s="216" t="s">
        <v>445</v>
      </c>
      <c r="B37" s="216" t="s">
        <v>186</v>
      </c>
      <c r="C37" s="216" t="s">
        <v>174</v>
      </c>
      <c r="D37" s="218"/>
      <c r="E37" s="218">
        <v>56</v>
      </c>
      <c r="F37" s="218"/>
      <c r="G37" s="218"/>
      <c r="H37" s="36">
        <f>adatok!$B$12*G37</f>
        <v>0</v>
      </c>
      <c r="I37" s="38">
        <f t="shared" si="0"/>
        <v>45</v>
      </c>
      <c r="J37" s="37">
        <f>MIN(VLOOKUP(B37,órabérek,2,FALSE),adatok!$B$5)</f>
        <v>45</v>
      </c>
      <c r="K37" s="37">
        <f>adatok!$B$5</f>
        <v>45</v>
      </c>
      <c r="L37" s="37">
        <f t="shared" si="4"/>
        <v>2520</v>
      </c>
      <c r="M37" s="38">
        <f t="shared" si="2"/>
        <v>1638</v>
      </c>
      <c r="N37" s="38">
        <f t="shared" si="3"/>
        <v>882</v>
      </c>
      <c r="O37" s="38">
        <f t="shared" si="1"/>
        <v>574</v>
      </c>
    </row>
    <row r="38" spans="1:15" ht="12.75" customHeight="1" x14ac:dyDescent="0.2">
      <c r="A38" s="216" t="s">
        <v>620</v>
      </c>
      <c r="B38" s="216" t="s">
        <v>186</v>
      </c>
      <c r="C38" s="216" t="s">
        <v>174</v>
      </c>
      <c r="D38" s="218">
        <v>56</v>
      </c>
      <c r="E38" s="218">
        <v>308</v>
      </c>
      <c r="F38" s="218"/>
      <c r="G38" s="218"/>
      <c r="H38" s="36">
        <f>adatok!$B$12*G38</f>
        <v>0</v>
      </c>
      <c r="I38" s="38">
        <f t="shared" si="0"/>
        <v>45</v>
      </c>
      <c r="J38" s="37">
        <f>MIN(VLOOKUP(B38,órabérek,2,FALSE),adatok!$B$5)</f>
        <v>45</v>
      </c>
      <c r="K38" s="37">
        <f>adatok!$B$5</f>
        <v>45</v>
      </c>
      <c r="L38" s="37">
        <f t="shared" si="4"/>
        <v>18900</v>
      </c>
      <c r="M38" s="38">
        <f t="shared" si="2"/>
        <v>12285</v>
      </c>
      <c r="N38" s="38">
        <f t="shared" si="3"/>
        <v>6615</v>
      </c>
      <c r="O38" s="38">
        <f t="shared" si="1"/>
        <v>4309</v>
      </c>
    </row>
    <row r="39" spans="1:15" ht="12.75" customHeight="1" x14ac:dyDescent="0.2">
      <c r="A39" s="216" t="s">
        <v>621</v>
      </c>
      <c r="B39" s="216" t="s">
        <v>188</v>
      </c>
      <c r="C39" s="216" t="s">
        <v>174</v>
      </c>
      <c r="D39" s="218">
        <v>0</v>
      </c>
      <c r="E39" s="218">
        <v>0</v>
      </c>
      <c r="F39" s="218"/>
      <c r="G39" s="218"/>
      <c r="H39" s="36">
        <f>adatok!$B$12*G39</f>
        <v>0</v>
      </c>
      <c r="I39" s="38">
        <f t="shared" si="0"/>
        <v>50</v>
      </c>
      <c r="J39" s="37">
        <f>MIN(VLOOKUP(B39,órabérek,2,FALSE),adatok!$B$5)</f>
        <v>45</v>
      </c>
      <c r="K39" s="37">
        <f>adatok!$B$5</f>
        <v>45</v>
      </c>
      <c r="L39" s="37">
        <f t="shared" si="4"/>
        <v>0</v>
      </c>
      <c r="M39" s="38">
        <f t="shared" si="2"/>
        <v>0</v>
      </c>
      <c r="N39" s="38">
        <f t="shared" si="3"/>
        <v>0</v>
      </c>
      <c r="O39" s="38">
        <f t="shared" si="1"/>
        <v>0</v>
      </c>
    </row>
    <row r="40" spans="1:15" ht="12.75" customHeight="1" x14ac:dyDescent="0.2">
      <c r="A40" s="216" t="s">
        <v>622</v>
      </c>
      <c r="B40" s="216" t="s">
        <v>186</v>
      </c>
      <c r="C40" s="216" t="s">
        <v>174</v>
      </c>
      <c r="D40" s="218"/>
      <c r="E40" s="218">
        <v>28</v>
      </c>
      <c r="F40" s="218"/>
      <c r="G40" s="218"/>
      <c r="H40" s="36">
        <f>adatok!$B$12*G40</f>
        <v>0</v>
      </c>
      <c r="I40" s="38">
        <f t="shared" si="0"/>
        <v>45</v>
      </c>
      <c r="J40" s="37">
        <f>MIN(VLOOKUP(B40,órabérek,2,FALSE),adatok!$B$5)</f>
        <v>45</v>
      </c>
      <c r="K40" s="37">
        <f>adatok!$B$5</f>
        <v>45</v>
      </c>
      <c r="L40" s="37">
        <f t="shared" si="4"/>
        <v>1260</v>
      </c>
      <c r="M40" s="38">
        <f t="shared" si="2"/>
        <v>819</v>
      </c>
      <c r="N40" s="38">
        <f t="shared" si="3"/>
        <v>441</v>
      </c>
      <c r="O40" s="38">
        <f t="shared" si="1"/>
        <v>287</v>
      </c>
    </row>
    <row r="41" spans="1:15" ht="12.75" customHeight="1" x14ac:dyDescent="0.2">
      <c r="A41" s="257" t="s">
        <v>465</v>
      </c>
      <c r="B41" s="257" t="s">
        <v>188</v>
      </c>
      <c r="C41" s="257" t="s">
        <v>170</v>
      </c>
      <c r="D41" s="258"/>
      <c r="E41" s="258">
        <v>196</v>
      </c>
      <c r="F41" s="258"/>
      <c r="G41" s="218"/>
      <c r="H41" s="36">
        <f>adatok!$B$12*G41</f>
        <v>0</v>
      </c>
      <c r="I41" s="38">
        <f t="shared" si="0"/>
        <v>50</v>
      </c>
      <c r="J41" s="37">
        <f>MIN(VLOOKUP(B41,órabérek,2,FALSE),adatok!$B$5)</f>
        <v>45</v>
      </c>
      <c r="K41" s="37">
        <f>adatok!$B$5</f>
        <v>45</v>
      </c>
      <c r="L41" s="37">
        <f t="shared" si="4"/>
        <v>8820</v>
      </c>
      <c r="M41" s="38">
        <f t="shared" si="2"/>
        <v>5733</v>
      </c>
      <c r="N41" s="38">
        <f t="shared" si="3"/>
        <v>3087</v>
      </c>
      <c r="O41" s="38">
        <f t="shared" si="1"/>
        <v>2010</v>
      </c>
    </row>
    <row r="42" spans="1:15" ht="12.75" customHeight="1" x14ac:dyDescent="0.2">
      <c r="A42" s="255" t="s">
        <v>468</v>
      </c>
      <c r="B42" s="255" t="s">
        <v>186</v>
      </c>
      <c r="C42" s="255" t="s">
        <v>170</v>
      </c>
      <c r="D42" s="256">
        <v>14</v>
      </c>
      <c r="E42" s="256">
        <v>154</v>
      </c>
      <c r="F42" s="256"/>
      <c r="G42" s="218"/>
      <c r="H42" s="36">
        <f>adatok!$B$12*G42</f>
        <v>0</v>
      </c>
      <c r="I42" s="38">
        <f t="shared" si="0"/>
        <v>45</v>
      </c>
      <c r="J42" s="37">
        <f>MIN(VLOOKUP(B42,órabérek,2,FALSE),adatok!$B$5)</f>
        <v>45</v>
      </c>
      <c r="K42" s="37">
        <f>adatok!$B$5</f>
        <v>45</v>
      </c>
      <c r="L42" s="37">
        <f t="shared" si="4"/>
        <v>8190</v>
      </c>
      <c r="M42" s="38">
        <f t="shared" si="2"/>
        <v>5323</v>
      </c>
      <c r="N42" s="38">
        <f t="shared" si="3"/>
        <v>2867</v>
      </c>
      <c r="O42" s="38">
        <f t="shared" si="1"/>
        <v>1867</v>
      </c>
    </row>
    <row r="43" spans="1:15" ht="12.75" customHeight="1" x14ac:dyDescent="0.2">
      <c r="A43" s="255" t="s">
        <v>627</v>
      </c>
      <c r="B43" s="255" t="s">
        <v>186</v>
      </c>
      <c r="C43" s="255" t="s">
        <v>170</v>
      </c>
      <c r="D43" s="256"/>
      <c r="E43" s="256">
        <v>196</v>
      </c>
      <c r="F43" s="256"/>
      <c r="G43" s="218"/>
      <c r="H43" s="36">
        <f>adatok!$B$12*G43</f>
        <v>0</v>
      </c>
      <c r="I43" s="38">
        <f t="shared" si="0"/>
        <v>45</v>
      </c>
      <c r="J43" s="37">
        <f>MIN(VLOOKUP(B43,órabérek,2,FALSE),adatok!$B$5)</f>
        <v>45</v>
      </c>
      <c r="K43" s="37">
        <f>adatok!$B$5</f>
        <v>45</v>
      </c>
      <c r="L43" s="37">
        <f t="shared" si="4"/>
        <v>8820</v>
      </c>
      <c r="M43" s="38">
        <f t="shared" si="2"/>
        <v>5733</v>
      </c>
      <c r="N43" s="38">
        <f t="shared" si="3"/>
        <v>3087</v>
      </c>
      <c r="O43" s="38">
        <f t="shared" si="1"/>
        <v>2010</v>
      </c>
    </row>
    <row r="44" spans="1:15" ht="12.75" customHeight="1" x14ac:dyDescent="0.2">
      <c r="A44" s="255" t="s">
        <v>463</v>
      </c>
      <c r="B44" s="255" t="s">
        <v>81</v>
      </c>
      <c r="C44" s="255" t="s">
        <v>170</v>
      </c>
      <c r="D44" s="256"/>
      <c r="E44" s="256">
        <v>56</v>
      </c>
      <c r="F44" s="256"/>
      <c r="G44" s="218"/>
      <c r="H44" s="36">
        <f>adatok!$B$12*G44</f>
        <v>0</v>
      </c>
      <c r="I44" s="38">
        <f t="shared" si="0"/>
        <v>50</v>
      </c>
      <c r="J44" s="37">
        <f>MIN(VLOOKUP(B44,órabérek,2,FALSE),adatok!$B$5)</f>
        <v>45</v>
      </c>
      <c r="K44" s="37">
        <f>adatok!$B$5</f>
        <v>45</v>
      </c>
      <c r="L44" s="37">
        <f t="shared" si="4"/>
        <v>2520</v>
      </c>
      <c r="M44" s="38">
        <f t="shared" si="2"/>
        <v>1638</v>
      </c>
      <c r="N44" s="38">
        <f t="shared" si="3"/>
        <v>882</v>
      </c>
      <c r="O44" s="38">
        <f t="shared" si="1"/>
        <v>574</v>
      </c>
    </row>
    <row r="45" spans="1:15" ht="12.75" customHeight="1" x14ac:dyDescent="0.2">
      <c r="A45" s="255" t="s">
        <v>466</v>
      </c>
      <c r="B45" s="255" t="s">
        <v>188</v>
      </c>
      <c r="C45" s="255" t="s">
        <v>170</v>
      </c>
      <c r="D45" s="256">
        <v>28</v>
      </c>
      <c r="E45" s="256">
        <v>70</v>
      </c>
      <c r="F45" s="256">
        <v>120</v>
      </c>
      <c r="G45" s="218"/>
      <c r="H45" s="36">
        <f>adatok!$B$12*G45</f>
        <v>0</v>
      </c>
      <c r="I45" s="38">
        <f t="shared" si="0"/>
        <v>50</v>
      </c>
      <c r="J45" s="37">
        <f>MIN(VLOOKUP(B45,órabérek,2,FALSE),adatok!$B$5)</f>
        <v>45</v>
      </c>
      <c r="K45" s="37">
        <f>adatok!$B$5</f>
        <v>45</v>
      </c>
      <c r="L45" s="37">
        <f t="shared" si="4"/>
        <v>7750</v>
      </c>
      <c r="M45" s="38">
        <f t="shared" si="2"/>
        <v>5037</v>
      </c>
      <c r="N45" s="38">
        <f t="shared" si="3"/>
        <v>2713</v>
      </c>
      <c r="O45" s="38">
        <f t="shared" si="1"/>
        <v>1767</v>
      </c>
    </row>
    <row r="46" spans="1:15" ht="12.75" customHeight="1" x14ac:dyDescent="0.2">
      <c r="A46" s="255" t="s">
        <v>628</v>
      </c>
      <c r="B46" s="255" t="s">
        <v>186</v>
      </c>
      <c r="C46" s="255" t="s">
        <v>170</v>
      </c>
      <c r="D46" s="256"/>
      <c r="E46" s="256">
        <v>84</v>
      </c>
      <c r="F46" s="256"/>
      <c r="G46" s="218"/>
      <c r="H46" s="36">
        <f>adatok!$B$12*G46</f>
        <v>0</v>
      </c>
      <c r="I46" s="38">
        <f t="shared" si="0"/>
        <v>45</v>
      </c>
      <c r="J46" s="37">
        <f>MIN(VLOOKUP(B46,órabérek,2,FALSE),adatok!$B$5)</f>
        <v>45</v>
      </c>
      <c r="K46" s="37">
        <f>adatok!$B$5</f>
        <v>45</v>
      </c>
      <c r="L46" s="37">
        <f t="shared" si="4"/>
        <v>3780</v>
      </c>
      <c r="M46" s="38">
        <f t="shared" si="2"/>
        <v>2457</v>
      </c>
      <c r="N46" s="38">
        <f t="shared" si="3"/>
        <v>1323</v>
      </c>
      <c r="O46" s="38">
        <f t="shared" si="1"/>
        <v>861</v>
      </c>
    </row>
    <row r="47" spans="1:15" ht="12.75" customHeight="1" x14ac:dyDescent="0.2">
      <c r="A47" s="255" t="s">
        <v>467</v>
      </c>
      <c r="B47" s="255" t="s">
        <v>188</v>
      </c>
      <c r="C47" s="255" t="s">
        <v>170</v>
      </c>
      <c r="D47" s="256"/>
      <c r="E47" s="256">
        <v>28</v>
      </c>
      <c r="F47" s="256"/>
      <c r="G47" s="218"/>
      <c r="H47" s="36">
        <f>adatok!$B$12*G47</f>
        <v>0</v>
      </c>
      <c r="I47" s="38">
        <f t="shared" si="0"/>
        <v>50</v>
      </c>
      <c r="J47" s="37">
        <f>MIN(VLOOKUP(B47,órabérek,2,FALSE),adatok!$B$5)</f>
        <v>45</v>
      </c>
      <c r="K47" s="37">
        <f>adatok!$B$5</f>
        <v>45</v>
      </c>
      <c r="L47" s="37">
        <f t="shared" si="4"/>
        <v>1260</v>
      </c>
      <c r="M47" s="38">
        <f t="shared" si="2"/>
        <v>819</v>
      </c>
      <c r="N47" s="38">
        <f t="shared" si="3"/>
        <v>441</v>
      </c>
      <c r="O47" s="38">
        <f t="shared" si="1"/>
        <v>287</v>
      </c>
    </row>
    <row r="48" spans="1:15" ht="12.75" customHeight="1" x14ac:dyDescent="0.2">
      <c r="A48" s="255" t="s">
        <v>471</v>
      </c>
      <c r="B48" s="255" t="s">
        <v>186</v>
      </c>
      <c r="C48" s="255" t="s">
        <v>170</v>
      </c>
      <c r="D48" s="256"/>
      <c r="E48" s="256">
        <v>70</v>
      </c>
      <c r="F48" s="256"/>
      <c r="G48" s="218"/>
      <c r="H48" s="36">
        <f>adatok!$B$12*G48</f>
        <v>0</v>
      </c>
      <c r="I48" s="38">
        <f t="shared" si="0"/>
        <v>45</v>
      </c>
      <c r="J48" s="37">
        <f>MIN(VLOOKUP(B48,órabérek,2,FALSE),adatok!$B$5)</f>
        <v>45</v>
      </c>
      <c r="K48" s="37">
        <f>adatok!$B$5</f>
        <v>45</v>
      </c>
      <c r="L48" s="37">
        <f t="shared" si="4"/>
        <v>3150</v>
      </c>
      <c r="M48" s="38">
        <f t="shared" si="2"/>
        <v>2047</v>
      </c>
      <c r="N48" s="38">
        <f t="shared" si="3"/>
        <v>1103</v>
      </c>
      <c r="O48" s="38">
        <f t="shared" si="1"/>
        <v>718</v>
      </c>
    </row>
    <row r="49" spans="1:15" ht="12.75" customHeight="1" x14ac:dyDescent="0.2">
      <c r="A49" s="255" t="s">
        <v>464</v>
      </c>
      <c r="B49" s="255" t="s">
        <v>81</v>
      </c>
      <c r="C49" s="255" t="s">
        <v>170</v>
      </c>
      <c r="D49" s="256">
        <v>56</v>
      </c>
      <c r="E49" s="256">
        <v>70</v>
      </c>
      <c r="F49" s="256">
        <v>225</v>
      </c>
      <c r="G49" s="218"/>
      <c r="H49" s="36">
        <f>adatok!$B$12*G49</f>
        <v>0</v>
      </c>
      <c r="I49" s="38">
        <f t="shared" si="0"/>
        <v>50</v>
      </c>
      <c r="J49" s="37">
        <f>MIN(VLOOKUP(B49,órabérek,2,FALSE),adatok!$B$5)</f>
        <v>45</v>
      </c>
      <c r="K49" s="37">
        <f>adatok!$B$5</f>
        <v>45</v>
      </c>
      <c r="L49" s="37">
        <f t="shared" si="4"/>
        <v>12125</v>
      </c>
      <c r="M49" s="38">
        <f t="shared" si="2"/>
        <v>7881</v>
      </c>
      <c r="N49" s="38">
        <f t="shared" si="3"/>
        <v>4244</v>
      </c>
      <c r="O49" s="38">
        <f t="shared" si="1"/>
        <v>2764</v>
      </c>
    </row>
    <row r="50" spans="1:15" ht="12.75" customHeight="1" x14ac:dyDescent="0.2">
      <c r="A50" s="275" t="s">
        <v>640</v>
      </c>
      <c r="B50" s="275" t="s">
        <v>81</v>
      </c>
      <c r="C50" s="275" t="s">
        <v>176</v>
      </c>
      <c r="D50" s="276">
        <v>56</v>
      </c>
      <c r="E50" s="276"/>
      <c r="F50" s="218"/>
      <c r="G50" s="218"/>
      <c r="H50" s="36">
        <f>adatok!$B$12*G50</f>
        <v>0</v>
      </c>
      <c r="I50" s="38">
        <f t="shared" si="0"/>
        <v>50</v>
      </c>
      <c r="J50" s="37">
        <f>MIN(VLOOKUP(B50,órabérek,2,FALSE),adatok!$B$5)</f>
        <v>45</v>
      </c>
      <c r="K50" s="37">
        <f>adatok!$B$5</f>
        <v>45</v>
      </c>
      <c r="L50" s="37">
        <f t="shared" si="4"/>
        <v>5600</v>
      </c>
      <c r="M50" s="38">
        <f t="shared" si="2"/>
        <v>3640</v>
      </c>
      <c r="N50" s="38">
        <f t="shared" si="3"/>
        <v>1960</v>
      </c>
      <c r="O50" s="38">
        <f t="shared" si="1"/>
        <v>1276</v>
      </c>
    </row>
    <row r="51" spans="1:15" ht="12.75" customHeight="1" x14ac:dyDescent="0.2">
      <c r="A51" s="273" t="s">
        <v>641</v>
      </c>
      <c r="B51" s="273" t="s">
        <v>186</v>
      </c>
      <c r="C51" s="273" t="s">
        <v>176</v>
      </c>
      <c r="D51" s="274"/>
      <c r="E51" s="274">
        <v>28</v>
      </c>
      <c r="F51" s="218"/>
      <c r="G51" s="218"/>
      <c r="H51" s="36">
        <f>adatok!$B$12*G51</f>
        <v>0</v>
      </c>
      <c r="I51" s="38">
        <f t="shared" si="0"/>
        <v>45</v>
      </c>
      <c r="J51" s="37">
        <f>MIN(VLOOKUP(B51,órabérek,2,FALSE),adatok!$B$5)</f>
        <v>45</v>
      </c>
      <c r="K51" s="37">
        <f>adatok!$B$5</f>
        <v>45</v>
      </c>
      <c r="L51" s="37">
        <f t="shared" si="4"/>
        <v>1260</v>
      </c>
      <c r="M51" s="38">
        <f t="shared" si="2"/>
        <v>819</v>
      </c>
      <c r="N51" s="38">
        <f t="shared" si="3"/>
        <v>441</v>
      </c>
      <c r="O51" s="38">
        <f t="shared" si="1"/>
        <v>287</v>
      </c>
    </row>
    <row r="52" spans="1:15" ht="12.75" customHeight="1" x14ac:dyDescent="0.2">
      <c r="A52" s="273" t="s">
        <v>642</v>
      </c>
      <c r="B52" s="273" t="s">
        <v>188</v>
      </c>
      <c r="C52" s="273" t="s">
        <v>176</v>
      </c>
      <c r="D52" s="274"/>
      <c r="E52" s="274">
        <v>168</v>
      </c>
      <c r="F52" s="218"/>
      <c r="G52" s="218"/>
      <c r="H52" s="36">
        <f>adatok!$B$12*G52</f>
        <v>0</v>
      </c>
      <c r="I52" s="38">
        <f t="shared" si="0"/>
        <v>50</v>
      </c>
      <c r="J52" s="37">
        <f>MIN(VLOOKUP(B52,órabérek,2,FALSE),adatok!$B$5)</f>
        <v>45</v>
      </c>
      <c r="K52" s="37">
        <f>adatok!$B$5</f>
        <v>45</v>
      </c>
      <c r="L52" s="37">
        <f t="shared" si="4"/>
        <v>7560</v>
      </c>
      <c r="M52" s="38">
        <f t="shared" si="2"/>
        <v>4914</v>
      </c>
      <c r="N52" s="38">
        <f t="shared" si="3"/>
        <v>2646</v>
      </c>
      <c r="O52" s="38">
        <f t="shared" si="1"/>
        <v>1723</v>
      </c>
    </row>
    <row r="53" spans="1:15" ht="12.75" customHeight="1" x14ac:dyDescent="0.2">
      <c r="A53" s="273" t="s">
        <v>643</v>
      </c>
      <c r="B53" s="273" t="s">
        <v>186</v>
      </c>
      <c r="C53" s="273" t="s">
        <v>176</v>
      </c>
      <c r="D53" s="274"/>
      <c r="E53" s="274">
        <v>70</v>
      </c>
      <c r="F53" s="218"/>
      <c r="G53" s="218"/>
      <c r="H53" s="36">
        <f>adatok!$B$12*G53</f>
        <v>0</v>
      </c>
      <c r="I53" s="38">
        <f t="shared" si="0"/>
        <v>45</v>
      </c>
      <c r="J53" s="37">
        <f>MIN(VLOOKUP(B53,órabérek,2,FALSE),adatok!$B$5)</f>
        <v>45</v>
      </c>
      <c r="K53" s="37">
        <f>adatok!$B$5</f>
        <v>45</v>
      </c>
      <c r="L53" s="37">
        <f t="shared" si="4"/>
        <v>3150</v>
      </c>
      <c r="M53" s="38">
        <f t="shared" si="2"/>
        <v>2047</v>
      </c>
      <c r="N53" s="38">
        <f t="shared" si="3"/>
        <v>1103</v>
      </c>
      <c r="O53" s="38">
        <f t="shared" si="1"/>
        <v>718</v>
      </c>
    </row>
    <row r="54" spans="1:15" ht="12.75" customHeight="1" x14ac:dyDescent="0.2">
      <c r="A54" s="273" t="s">
        <v>644</v>
      </c>
      <c r="B54" s="273" t="s">
        <v>186</v>
      </c>
      <c r="C54" s="273" t="s">
        <v>176</v>
      </c>
      <c r="D54" s="274"/>
      <c r="E54" s="274">
        <v>56</v>
      </c>
      <c r="F54" s="218"/>
      <c r="G54" s="218"/>
      <c r="H54" s="36">
        <f>adatok!$B$12*G54</f>
        <v>0</v>
      </c>
      <c r="I54" s="38">
        <f t="shared" si="0"/>
        <v>45</v>
      </c>
      <c r="J54" s="37">
        <f>MIN(VLOOKUP(B54,órabérek,2,FALSE),adatok!$B$5)</f>
        <v>45</v>
      </c>
      <c r="K54" s="37">
        <f>adatok!$B$5</f>
        <v>45</v>
      </c>
      <c r="L54" s="37">
        <f t="shared" si="4"/>
        <v>2520</v>
      </c>
      <c r="M54" s="38">
        <f t="shared" si="2"/>
        <v>1638</v>
      </c>
      <c r="N54" s="38">
        <f t="shared" si="3"/>
        <v>882</v>
      </c>
      <c r="O54" s="38">
        <f t="shared" si="1"/>
        <v>574</v>
      </c>
    </row>
    <row r="55" spans="1:15" ht="12.75" customHeight="1" x14ac:dyDescent="0.2">
      <c r="A55" s="273" t="s">
        <v>645</v>
      </c>
      <c r="B55" s="273" t="s">
        <v>186</v>
      </c>
      <c r="C55" s="273" t="s">
        <v>176</v>
      </c>
      <c r="D55" s="274">
        <v>28</v>
      </c>
      <c r="E55" s="274">
        <v>112</v>
      </c>
      <c r="F55" s="218"/>
      <c r="G55" s="218"/>
      <c r="H55" s="36">
        <f>adatok!$B$12*G55</f>
        <v>0</v>
      </c>
      <c r="I55" s="38">
        <f t="shared" si="0"/>
        <v>45</v>
      </c>
      <c r="J55" s="37">
        <f>MIN(VLOOKUP(B55,órabérek,2,FALSE),adatok!$B$5)</f>
        <v>45</v>
      </c>
      <c r="K55" s="37">
        <f>adatok!$B$5</f>
        <v>45</v>
      </c>
      <c r="L55" s="37">
        <f t="shared" si="4"/>
        <v>7560</v>
      </c>
      <c r="M55" s="38">
        <f t="shared" si="2"/>
        <v>4914</v>
      </c>
      <c r="N55" s="38">
        <f t="shared" si="3"/>
        <v>2646</v>
      </c>
      <c r="O55" s="38">
        <f t="shared" si="1"/>
        <v>1723</v>
      </c>
    </row>
    <row r="56" spans="1:15" ht="12.75" customHeight="1" x14ac:dyDescent="0.2">
      <c r="A56" s="273" t="s">
        <v>646</v>
      </c>
      <c r="B56" s="273" t="s">
        <v>186</v>
      </c>
      <c r="C56" s="273" t="s">
        <v>176</v>
      </c>
      <c r="D56" s="274">
        <v>14</v>
      </c>
      <c r="E56" s="274">
        <v>168</v>
      </c>
      <c r="F56" s="218"/>
      <c r="G56" s="218"/>
      <c r="H56" s="36">
        <f>adatok!$B$12*G56</f>
        <v>0</v>
      </c>
      <c r="I56" s="38">
        <f t="shared" si="0"/>
        <v>45</v>
      </c>
      <c r="J56" s="37">
        <f>MIN(VLOOKUP(B56,órabérek,2,FALSE),adatok!$B$5)</f>
        <v>45</v>
      </c>
      <c r="K56" s="37">
        <f>adatok!$B$5</f>
        <v>45</v>
      </c>
      <c r="L56" s="37">
        <f t="shared" si="4"/>
        <v>8820</v>
      </c>
      <c r="M56" s="38">
        <f t="shared" si="2"/>
        <v>5733</v>
      </c>
      <c r="N56" s="38">
        <f t="shared" si="3"/>
        <v>3087</v>
      </c>
      <c r="O56" s="38">
        <f t="shared" si="1"/>
        <v>2010</v>
      </c>
    </row>
    <row r="57" spans="1:15" ht="12.75" customHeight="1" x14ac:dyDescent="0.2">
      <c r="A57" s="273" t="s">
        <v>647</v>
      </c>
      <c r="B57" s="273" t="s">
        <v>186</v>
      </c>
      <c r="C57" s="273" t="s">
        <v>176</v>
      </c>
      <c r="D57" s="274">
        <v>28</v>
      </c>
      <c r="E57" s="274">
        <v>140</v>
      </c>
      <c r="F57" s="218"/>
      <c r="G57" s="218"/>
      <c r="H57" s="36">
        <f>adatok!$B$12*G57</f>
        <v>0</v>
      </c>
      <c r="I57" s="38">
        <f t="shared" si="0"/>
        <v>45</v>
      </c>
      <c r="J57" s="37">
        <f>MIN(VLOOKUP(B57,órabérek,2,FALSE),adatok!$B$5)</f>
        <v>45</v>
      </c>
      <c r="K57" s="37">
        <f>adatok!$B$5</f>
        <v>45</v>
      </c>
      <c r="L57" s="37">
        <f t="shared" si="4"/>
        <v>8820</v>
      </c>
      <c r="M57" s="38">
        <f t="shared" si="2"/>
        <v>5733</v>
      </c>
      <c r="N57" s="38">
        <f t="shared" si="3"/>
        <v>3087</v>
      </c>
      <c r="O57" s="38">
        <f t="shared" si="1"/>
        <v>2010</v>
      </c>
    </row>
    <row r="58" spans="1:15" ht="12.75" customHeight="1" x14ac:dyDescent="0.2">
      <c r="A58" s="273" t="s">
        <v>648</v>
      </c>
      <c r="B58" s="273" t="s">
        <v>186</v>
      </c>
      <c r="C58" s="273" t="s">
        <v>176</v>
      </c>
      <c r="D58" s="274">
        <v>28</v>
      </c>
      <c r="E58" s="274">
        <v>84</v>
      </c>
      <c r="F58" s="218"/>
      <c r="G58" s="218"/>
      <c r="H58" s="36">
        <f>adatok!$B$12*G58</f>
        <v>0</v>
      </c>
      <c r="I58" s="38">
        <f t="shared" si="0"/>
        <v>45</v>
      </c>
      <c r="J58" s="37">
        <f>MIN(VLOOKUP(B58,órabérek,2,FALSE),adatok!$B$5)</f>
        <v>45</v>
      </c>
      <c r="K58" s="37">
        <f>adatok!$B$5</f>
        <v>45</v>
      </c>
      <c r="L58" s="37">
        <f t="shared" si="4"/>
        <v>6300</v>
      </c>
      <c r="M58" s="38">
        <f t="shared" si="2"/>
        <v>4095</v>
      </c>
      <c r="N58" s="38">
        <f t="shared" si="3"/>
        <v>2205</v>
      </c>
      <c r="O58" s="38">
        <f t="shared" si="1"/>
        <v>1436</v>
      </c>
    </row>
    <row r="59" spans="1:15" ht="12.75" customHeight="1" x14ac:dyDescent="0.2">
      <c r="A59" s="273" t="s">
        <v>649</v>
      </c>
      <c r="B59" s="273" t="s">
        <v>186</v>
      </c>
      <c r="C59" s="273" t="s">
        <v>176</v>
      </c>
      <c r="D59" s="274">
        <v>28</v>
      </c>
      <c r="E59" s="274">
        <v>112</v>
      </c>
      <c r="F59" s="218"/>
      <c r="G59" s="218"/>
      <c r="H59" s="36">
        <f>adatok!$B$12*G59</f>
        <v>0</v>
      </c>
      <c r="I59" s="38">
        <f t="shared" si="0"/>
        <v>45</v>
      </c>
      <c r="J59" s="37">
        <f>MIN(VLOOKUP(B59,órabérek,2,FALSE),adatok!$B$5)</f>
        <v>45</v>
      </c>
      <c r="K59" s="37">
        <f>adatok!$B$5</f>
        <v>45</v>
      </c>
      <c r="L59" s="37">
        <f t="shared" si="4"/>
        <v>7560</v>
      </c>
      <c r="M59" s="38">
        <f t="shared" si="2"/>
        <v>4914</v>
      </c>
      <c r="N59" s="38">
        <f t="shared" si="3"/>
        <v>2646</v>
      </c>
      <c r="O59" s="38">
        <f t="shared" si="1"/>
        <v>1723</v>
      </c>
    </row>
    <row r="60" spans="1:15" ht="12.75" customHeight="1" x14ac:dyDescent="0.2">
      <c r="A60" s="273" t="s">
        <v>650</v>
      </c>
      <c r="B60" s="273" t="s">
        <v>188</v>
      </c>
      <c r="C60" s="273" t="s">
        <v>176</v>
      </c>
      <c r="D60" s="274">
        <v>28</v>
      </c>
      <c r="E60" s="274"/>
      <c r="F60" s="218"/>
      <c r="G60" s="218"/>
      <c r="H60" s="36">
        <f>adatok!$B$12*G60</f>
        <v>0</v>
      </c>
      <c r="I60" s="38">
        <f t="shared" si="0"/>
        <v>50</v>
      </c>
      <c r="J60" s="37">
        <f>MIN(VLOOKUP(B60,órabérek,2,FALSE),adatok!$B$5)</f>
        <v>45</v>
      </c>
      <c r="K60" s="37">
        <f>adatok!$B$5</f>
        <v>45</v>
      </c>
      <c r="L60" s="37">
        <f t="shared" si="4"/>
        <v>2800</v>
      </c>
      <c r="M60" s="38">
        <f t="shared" si="2"/>
        <v>1820</v>
      </c>
      <c r="N60" s="38">
        <f t="shared" si="3"/>
        <v>980</v>
      </c>
      <c r="O60" s="38">
        <f t="shared" si="1"/>
        <v>638</v>
      </c>
    </row>
    <row r="61" spans="1:15" ht="12.75" customHeight="1" x14ac:dyDescent="0.2">
      <c r="A61" s="273" t="s">
        <v>651</v>
      </c>
      <c r="B61" s="273" t="s">
        <v>183</v>
      </c>
      <c r="C61" s="273" t="s">
        <v>176</v>
      </c>
      <c r="D61" s="274"/>
      <c r="E61" s="274">
        <v>28</v>
      </c>
      <c r="F61" s="218"/>
      <c r="G61" s="218"/>
      <c r="H61" s="36">
        <f>adatok!$B$12*G61</f>
        <v>0</v>
      </c>
      <c r="I61" s="38">
        <f t="shared" ref="I61:I103" si="10">VLOOKUP(B61,órabérek,2,FALSE)</f>
        <v>35</v>
      </c>
      <c r="J61" s="37">
        <f>MIN(VLOOKUP(B61,órabérek,2,FALSE),adatok!$B$5)</f>
        <v>35</v>
      </c>
      <c r="K61" s="37">
        <f>adatok!$B$5</f>
        <v>45</v>
      </c>
      <c r="L61" s="37">
        <f t="shared" si="4"/>
        <v>980</v>
      </c>
      <c r="M61" s="38">
        <f t="shared" si="2"/>
        <v>637</v>
      </c>
      <c r="N61" s="38">
        <f t="shared" si="3"/>
        <v>343</v>
      </c>
      <c r="O61" s="38">
        <f t="shared" ref="O61:O103" si="11">INT(L61*adókulcs)</f>
        <v>223</v>
      </c>
    </row>
    <row r="62" spans="1:15" ht="12.75" customHeight="1" x14ac:dyDescent="0.2">
      <c r="A62" s="273" t="s">
        <v>652</v>
      </c>
      <c r="B62" s="273" t="s">
        <v>186</v>
      </c>
      <c r="C62" s="273" t="s">
        <v>176</v>
      </c>
      <c r="D62" s="274"/>
      <c r="E62" s="274">
        <v>70</v>
      </c>
      <c r="F62" s="218"/>
      <c r="G62" s="218"/>
      <c r="H62" s="36">
        <f>adatok!$B$12*G62</f>
        <v>0</v>
      </c>
      <c r="I62" s="38">
        <f t="shared" si="10"/>
        <v>45</v>
      </c>
      <c r="J62" s="37">
        <f>MIN(VLOOKUP(B62,órabérek,2,FALSE),adatok!$B$5)</f>
        <v>45</v>
      </c>
      <c r="K62" s="37">
        <f>adatok!$B$5</f>
        <v>45</v>
      </c>
      <c r="L62" s="37">
        <f t="shared" si="4"/>
        <v>3150</v>
      </c>
      <c r="M62" s="38">
        <f t="shared" si="2"/>
        <v>2047</v>
      </c>
      <c r="N62" s="38">
        <f t="shared" si="3"/>
        <v>1103</v>
      </c>
      <c r="O62" s="38">
        <f t="shared" si="11"/>
        <v>718</v>
      </c>
    </row>
    <row r="63" spans="1:15" ht="12.75" customHeight="1" x14ac:dyDescent="0.2">
      <c r="A63" s="273" t="s">
        <v>653</v>
      </c>
      <c r="B63" s="273" t="s">
        <v>81</v>
      </c>
      <c r="C63" s="273" t="s">
        <v>176</v>
      </c>
      <c r="D63" s="274"/>
      <c r="E63" s="274">
        <v>28</v>
      </c>
      <c r="F63" s="218"/>
      <c r="G63" s="218"/>
      <c r="H63" s="36">
        <f>adatok!$B$12*G63</f>
        <v>0</v>
      </c>
      <c r="I63" s="38">
        <f t="shared" si="10"/>
        <v>50</v>
      </c>
      <c r="J63" s="37">
        <f>MIN(VLOOKUP(B63,órabérek,2,FALSE),adatok!$B$5)</f>
        <v>45</v>
      </c>
      <c r="K63" s="37">
        <f>adatok!$B$5</f>
        <v>45</v>
      </c>
      <c r="L63" s="37">
        <f t="shared" si="4"/>
        <v>1260</v>
      </c>
      <c r="M63" s="38">
        <f t="shared" si="2"/>
        <v>819</v>
      </c>
      <c r="N63" s="38">
        <f t="shared" si="3"/>
        <v>441</v>
      </c>
      <c r="O63" s="38">
        <f t="shared" si="11"/>
        <v>287</v>
      </c>
    </row>
    <row r="64" spans="1:15" ht="12.75" customHeight="1" x14ac:dyDescent="0.2">
      <c r="A64" s="273" t="s">
        <v>654</v>
      </c>
      <c r="B64" s="273" t="s">
        <v>183</v>
      </c>
      <c r="C64" s="273" t="s">
        <v>176</v>
      </c>
      <c r="D64" s="274"/>
      <c r="E64" s="274">
        <v>14</v>
      </c>
      <c r="F64" s="218"/>
      <c r="G64" s="218"/>
      <c r="H64" s="36">
        <f>adatok!$B$12*G64</f>
        <v>0</v>
      </c>
      <c r="I64" s="38">
        <f t="shared" si="10"/>
        <v>35</v>
      </c>
      <c r="J64" s="37">
        <f>MIN(VLOOKUP(B64,órabérek,2,FALSE),adatok!$B$5)</f>
        <v>35</v>
      </c>
      <c r="K64" s="37">
        <f>adatok!$B$5</f>
        <v>45</v>
      </c>
      <c r="L64" s="37">
        <f t="shared" si="4"/>
        <v>490</v>
      </c>
      <c r="M64" s="38">
        <f t="shared" si="2"/>
        <v>318</v>
      </c>
      <c r="N64" s="38">
        <f t="shared" si="3"/>
        <v>172</v>
      </c>
      <c r="O64" s="38">
        <f t="shared" si="11"/>
        <v>111</v>
      </c>
    </row>
    <row r="65" spans="1:15" ht="12.75" customHeight="1" x14ac:dyDescent="0.2">
      <c r="A65" s="273" t="s">
        <v>655</v>
      </c>
      <c r="B65" s="273" t="s">
        <v>186</v>
      </c>
      <c r="C65" s="273" t="s">
        <v>176</v>
      </c>
      <c r="D65" s="274">
        <v>28</v>
      </c>
      <c r="E65" s="274">
        <v>28</v>
      </c>
      <c r="F65" s="218"/>
      <c r="G65" s="218"/>
      <c r="H65" s="36">
        <f>adatok!$B$12*G65</f>
        <v>0</v>
      </c>
      <c r="I65" s="38">
        <f t="shared" si="10"/>
        <v>45</v>
      </c>
      <c r="J65" s="37">
        <f>MIN(VLOOKUP(B65,órabérek,2,FALSE),adatok!$B$5)</f>
        <v>45</v>
      </c>
      <c r="K65" s="37">
        <f>adatok!$B$5</f>
        <v>45</v>
      </c>
      <c r="L65" s="37">
        <f t="shared" si="4"/>
        <v>3780</v>
      </c>
      <c r="M65" s="38">
        <f t="shared" si="2"/>
        <v>2457</v>
      </c>
      <c r="N65" s="38">
        <f t="shared" si="3"/>
        <v>1323</v>
      </c>
      <c r="O65" s="38">
        <f t="shared" si="11"/>
        <v>861</v>
      </c>
    </row>
    <row r="66" spans="1:15" ht="12.75" customHeight="1" x14ac:dyDescent="0.2">
      <c r="A66" s="216" t="s">
        <v>677</v>
      </c>
      <c r="B66" s="216" t="s">
        <v>188</v>
      </c>
      <c r="C66" s="216" t="s">
        <v>171</v>
      </c>
      <c r="D66" s="218">
        <v>84</v>
      </c>
      <c r="E66" s="218">
        <v>14</v>
      </c>
      <c r="F66" s="218">
        <v>55</v>
      </c>
      <c r="G66" s="218">
        <v>0</v>
      </c>
      <c r="H66" s="36">
        <f>adatok!$B$12*G66</f>
        <v>0</v>
      </c>
      <c r="I66" s="38">
        <f t="shared" si="10"/>
        <v>50</v>
      </c>
      <c r="J66" s="37">
        <f>MIN(VLOOKUP(B66,órabérek,2,FALSE),adatok!$B$5)</f>
        <v>45</v>
      </c>
      <c r="K66" s="37">
        <f>adatok!$B$5</f>
        <v>45</v>
      </c>
      <c r="L66" s="37">
        <f t="shared" si="4"/>
        <v>9840</v>
      </c>
      <c r="M66" s="38">
        <f t="shared" si="2"/>
        <v>6396</v>
      </c>
      <c r="N66" s="38">
        <f t="shared" si="3"/>
        <v>3444</v>
      </c>
      <c r="O66" s="38">
        <f t="shared" si="11"/>
        <v>2243</v>
      </c>
    </row>
    <row r="67" spans="1:15" ht="12.75" customHeight="1" x14ac:dyDescent="0.2">
      <c r="A67" s="216" t="s">
        <v>678</v>
      </c>
      <c r="B67" s="216" t="s">
        <v>186</v>
      </c>
      <c r="C67" s="216" t="s">
        <v>335</v>
      </c>
      <c r="D67" s="218">
        <v>28</v>
      </c>
      <c r="E67" s="218">
        <v>0</v>
      </c>
      <c r="F67" s="218">
        <v>26</v>
      </c>
      <c r="G67" s="218">
        <v>0</v>
      </c>
      <c r="H67" s="36">
        <f>adatok!$B$12*G67</f>
        <v>0</v>
      </c>
      <c r="I67" s="38">
        <f t="shared" si="10"/>
        <v>45</v>
      </c>
      <c r="J67" s="37">
        <f>MIN(VLOOKUP(B67,órabérek,2,FALSE),adatok!$B$5)</f>
        <v>45</v>
      </c>
      <c r="K67" s="37">
        <f>adatok!$B$5</f>
        <v>45</v>
      </c>
      <c r="L67" s="37">
        <f t="shared" si="4"/>
        <v>2880</v>
      </c>
      <c r="M67" s="38">
        <f t="shared" si="2"/>
        <v>1872</v>
      </c>
      <c r="N67" s="38">
        <f t="shared" si="3"/>
        <v>1008</v>
      </c>
      <c r="O67" s="38">
        <f t="shared" si="11"/>
        <v>656</v>
      </c>
    </row>
    <row r="68" spans="1:15" ht="12.75" customHeight="1" x14ac:dyDescent="0.2">
      <c r="A68" s="216" t="s">
        <v>679</v>
      </c>
      <c r="B68" s="216" t="s">
        <v>186</v>
      </c>
      <c r="C68" s="216" t="s">
        <v>171</v>
      </c>
      <c r="D68" s="218">
        <v>0</v>
      </c>
      <c r="E68" s="218">
        <v>28</v>
      </c>
      <c r="F68" s="218">
        <v>0</v>
      </c>
      <c r="G68" s="218">
        <v>0</v>
      </c>
      <c r="H68" s="36">
        <f>adatok!$B$12*G68</f>
        <v>0</v>
      </c>
      <c r="I68" s="38">
        <f t="shared" si="10"/>
        <v>45</v>
      </c>
      <c r="J68" s="37">
        <f>MIN(VLOOKUP(B68,órabérek,2,FALSE),adatok!$B$5)</f>
        <v>45</v>
      </c>
      <c r="K68" s="37">
        <f>adatok!$B$5</f>
        <v>45</v>
      </c>
      <c r="L68" s="37">
        <f t="shared" si="4"/>
        <v>1260</v>
      </c>
      <c r="M68" s="38">
        <f t="shared" si="2"/>
        <v>819</v>
      </c>
      <c r="N68" s="38">
        <f t="shared" si="3"/>
        <v>441</v>
      </c>
      <c r="O68" s="38">
        <f t="shared" si="11"/>
        <v>287</v>
      </c>
    </row>
    <row r="69" spans="1:15" ht="12.75" customHeight="1" x14ac:dyDescent="0.2">
      <c r="A69" s="216" t="s">
        <v>680</v>
      </c>
      <c r="B69" s="216" t="s">
        <v>81</v>
      </c>
      <c r="C69" s="216" t="s">
        <v>171</v>
      </c>
      <c r="D69" s="218">
        <v>28</v>
      </c>
      <c r="E69" s="218">
        <v>0</v>
      </c>
      <c r="F69" s="218">
        <v>16</v>
      </c>
      <c r="G69" s="218">
        <v>6</v>
      </c>
      <c r="H69" s="36">
        <f>adatok!$B$12*G69</f>
        <v>90</v>
      </c>
      <c r="I69" s="38">
        <f t="shared" si="10"/>
        <v>50</v>
      </c>
      <c r="J69" s="37">
        <f>MIN(VLOOKUP(B69,órabérek,2,FALSE),adatok!$B$5)</f>
        <v>45</v>
      </c>
      <c r="K69" s="37">
        <f>adatok!$B$5</f>
        <v>45</v>
      </c>
      <c r="L69" s="37">
        <f t="shared" si="4"/>
        <v>7075</v>
      </c>
      <c r="M69" s="38">
        <f t="shared" si="2"/>
        <v>4598</v>
      </c>
      <c r="N69" s="38">
        <f t="shared" si="3"/>
        <v>2477</v>
      </c>
      <c r="O69" s="38">
        <f t="shared" si="11"/>
        <v>1613</v>
      </c>
    </row>
    <row r="70" spans="1:15" ht="12.75" customHeight="1" x14ac:dyDescent="0.2">
      <c r="A70" s="216" t="s">
        <v>681</v>
      </c>
      <c r="B70" s="216" t="s">
        <v>188</v>
      </c>
      <c r="C70" s="216" t="s">
        <v>171</v>
      </c>
      <c r="D70" s="218">
        <v>42</v>
      </c>
      <c r="E70" s="218">
        <v>56</v>
      </c>
      <c r="F70" s="218">
        <v>26</v>
      </c>
      <c r="G70" s="218">
        <v>4</v>
      </c>
      <c r="H70" s="36">
        <f>adatok!$B$12*G70</f>
        <v>60</v>
      </c>
      <c r="I70" s="38">
        <f t="shared" si="10"/>
        <v>50</v>
      </c>
      <c r="J70" s="37">
        <f>MIN(VLOOKUP(B70,órabérek,2,FALSE),adatok!$B$5)</f>
        <v>45</v>
      </c>
      <c r="K70" s="37">
        <f>adatok!$B$5</f>
        <v>45</v>
      </c>
      <c r="L70" s="37">
        <f t="shared" si="4"/>
        <v>9780</v>
      </c>
      <c r="M70" s="38">
        <f t="shared" si="2"/>
        <v>6357</v>
      </c>
      <c r="N70" s="38">
        <f t="shared" si="3"/>
        <v>3423</v>
      </c>
      <c r="O70" s="38">
        <f t="shared" si="11"/>
        <v>2229</v>
      </c>
    </row>
    <row r="71" spans="1:15" ht="12.75" customHeight="1" x14ac:dyDescent="0.2">
      <c r="A71" s="216" t="s">
        <v>682</v>
      </c>
      <c r="B71" s="216" t="s">
        <v>186</v>
      </c>
      <c r="C71" s="216" t="s">
        <v>171</v>
      </c>
      <c r="D71" s="218">
        <v>0</v>
      </c>
      <c r="E71" s="218">
        <v>252</v>
      </c>
      <c r="F71" s="218">
        <v>0</v>
      </c>
      <c r="G71" s="218">
        <v>6</v>
      </c>
      <c r="H71" s="36">
        <f>adatok!$B$12*G71</f>
        <v>90</v>
      </c>
      <c r="I71" s="38">
        <f t="shared" si="10"/>
        <v>45</v>
      </c>
      <c r="J71" s="37">
        <f>MIN(VLOOKUP(B71,órabérek,2,FALSE),adatok!$B$5)</f>
        <v>45</v>
      </c>
      <c r="K71" s="37">
        <f>adatok!$B$5</f>
        <v>45</v>
      </c>
      <c r="L71" s="37">
        <f t="shared" si="4"/>
        <v>15390</v>
      </c>
      <c r="M71" s="38">
        <f t="shared" si="2"/>
        <v>10003</v>
      </c>
      <c r="N71" s="38">
        <f t="shared" si="3"/>
        <v>5387</v>
      </c>
      <c r="O71" s="38">
        <f t="shared" si="11"/>
        <v>3508</v>
      </c>
    </row>
    <row r="72" spans="1:15" ht="12.75" customHeight="1" x14ac:dyDescent="0.2">
      <c r="A72" s="216" t="s">
        <v>683</v>
      </c>
      <c r="B72" s="216" t="s">
        <v>186</v>
      </c>
      <c r="C72" s="216" t="s">
        <v>171</v>
      </c>
      <c r="D72" s="218">
        <v>0</v>
      </c>
      <c r="E72" s="218">
        <v>28</v>
      </c>
      <c r="F72" s="218">
        <v>0</v>
      </c>
      <c r="G72" s="218">
        <v>2</v>
      </c>
      <c r="H72" s="36">
        <f>adatok!$B$12*G72</f>
        <v>30</v>
      </c>
      <c r="I72" s="38">
        <f t="shared" si="10"/>
        <v>45</v>
      </c>
      <c r="J72" s="37">
        <f>MIN(VLOOKUP(B72,órabérek,2,FALSE),adatok!$B$5)</f>
        <v>45</v>
      </c>
      <c r="K72" s="37">
        <f>adatok!$B$5</f>
        <v>45</v>
      </c>
      <c r="L72" s="37">
        <f t="shared" si="4"/>
        <v>2610</v>
      </c>
      <c r="M72" s="38">
        <f t="shared" si="2"/>
        <v>1696</v>
      </c>
      <c r="N72" s="38">
        <f t="shared" si="3"/>
        <v>914</v>
      </c>
      <c r="O72" s="38">
        <f t="shared" si="11"/>
        <v>595</v>
      </c>
    </row>
    <row r="73" spans="1:15" ht="12.75" customHeight="1" x14ac:dyDescent="0.2">
      <c r="A73" s="216" t="s">
        <v>684</v>
      </c>
      <c r="B73" s="216" t="s">
        <v>186</v>
      </c>
      <c r="C73" s="216" t="s">
        <v>171</v>
      </c>
      <c r="D73" s="218">
        <v>0</v>
      </c>
      <c r="E73" s="218">
        <v>14</v>
      </c>
      <c r="F73" s="218">
        <v>0</v>
      </c>
      <c r="G73" s="218">
        <v>1</v>
      </c>
      <c r="H73" s="36">
        <f>adatok!$B$12*G73</f>
        <v>15</v>
      </c>
      <c r="I73" s="38">
        <f t="shared" si="10"/>
        <v>45</v>
      </c>
      <c r="J73" s="37">
        <f>MIN(VLOOKUP(B73,órabérek,2,FALSE),adatok!$B$5)</f>
        <v>45</v>
      </c>
      <c r="K73" s="37">
        <f>adatok!$B$5</f>
        <v>45</v>
      </c>
      <c r="L73" s="37">
        <f t="shared" si="4"/>
        <v>1305</v>
      </c>
      <c r="M73" s="38">
        <f t="shared" si="2"/>
        <v>848</v>
      </c>
      <c r="N73" s="38">
        <f t="shared" si="3"/>
        <v>457</v>
      </c>
      <c r="O73" s="38">
        <f t="shared" si="11"/>
        <v>297</v>
      </c>
    </row>
    <row r="74" spans="1:15" ht="12.75" customHeight="1" x14ac:dyDescent="0.2">
      <c r="A74" s="216" t="s">
        <v>685</v>
      </c>
      <c r="B74" s="216" t="s">
        <v>186</v>
      </c>
      <c r="C74" s="216" t="s">
        <v>171</v>
      </c>
      <c r="D74" s="218">
        <v>56</v>
      </c>
      <c r="E74" s="218">
        <v>0</v>
      </c>
      <c r="F74" s="218">
        <v>14</v>
      </c>
      <c r="G74" s="218">
        <v>6</v>
      </c>
      <c r="H74" s="36">
        <f>adatok!$B$12*G74</f>
        <v>90</v>
      </c>
      <c r="I74" s="38">
        <f t="shared" si="10"/>
        <v>45</v>
      </c>
      <c r="J74" s="37">
        <f>MIN(VLOOKUP(B74,órabérek,2,FALSE),adatok!$B$5)</f>
        <v>45</v>
      </c>
      <c r="K74" s="37">
        <f>adatok!$B$5</f>
        <v>45</v>
      </c>
      <c r="L74" s="37">
        <f t="shared" si="4"/>
        <v>9270</v>
      </c>
      <c r="M74" s="38">
        <f t="shared" si="2"/>
        <v>6025</v>
      </c>
      <c r="N74" s="38">
        <f t="shared" si="3"/>
        <v>3245</v>
      </c>
      <c r="O74" s="38">
        <f t="shared" si="11"/>
        <v>2113</v>
      </c>
    </row>
    <row r="75" spans="1:15" ht="12.75" customHeight="1" x14ac:dyDescent="0.2">
      <c r="A75" s="216" t="s">
        <v>686</v>
      </c>
      <c r="B75" s="216" t="s">
        <v>188</v>
      </c>
      <c r="C75" s="216" t="s">
        <v>171</v>
      </c>
      <c r="D75" s="218">
        <v>14</v>
      </c>
      <c r="E75" s="218">
        <v>56</v>
      </c>
      <c r="F75" s="218">
        <v>13</v>
      </c>
      <c r="G75" s="218">
        <v>0</v>
      </c>
      <c r="H75" s="36">
        <f>adatok!$B$12*G75</f>
        <v>0</v>
      </c>
      <c r="I75" s="38">
        <f t="shared" si="10"/>
        <v>50</v>
      </c>
      <c r="J75" s="37">
        <f>MIN(VLOOKUP(B75,órabérek,2,FALSE),adatok!$B$5)</f>
        <v>45</v>
      </c>
      <c r="K75" s="37">
        <f>adatok!$B$5</f>
        <v>45</v>
      </c>
      <c r="L75" s="37">
        <f t="shared" si="4"/>
        <v>4100</v>
      </c>
      <c r="M75" s="38">
        <f t="shared" si="2"/>
        <v>2665</v>
      </c>
      <c r="N75" s="38">
        <f t="shared" si="3"/>
        <v>1435</v>
      </c>
      <c r="O75" s="38">
        <f t="shared" si="11"/>
        <v>934</v>
      </c>
    </row>
    <row r="76" spans="1:15" ht="12.75" customHeight="1" x14ac:dyDescent="0.2">
      <c r="A76" s="216" t="s">
        <v>687</v>
      </c>
      <c r="B76" s="216" t="s">
        <v>81</v>
      </c>
      <c r="C76" s="216" t="s">
        <v>171</v>
      </c>
      <c r="D76" s="218">
        <v>56</v>
      </c>
      <c r="E76" s="218">
        <v>56</v>
      </c>
      <c r="F76" s="218">
        <v>27</v>
      </c>
      <c r="G76" s="218">
        <v>6</v>
      </c>
      <c r="H76" s="36">
        <f>adatok!$B$12*G76</f>
        <v>90</v>
      </c>
      <c r="I76" s="38">
        <f t="shared" si="10"/>
        <v>50</v>
      </c>
      <c r="J76" s="37">
        <f>MIN(VLOOKUP(B76,órabérek,2,FALSE),adatok!$B$5)</f>
        <v>45</v>
      </c>
      <c r="K76" s="37">
        <f>adatok!$B$5</f>
        <v>45</v>
      </c>
      <c r="L76" s="37">
        <f t="shared" si="4"/>
        <v>12575</v>
      </c>
      <c r="M76" s="38">
        <f t="shared" si="2"/>
        <v>8173</v>
      </c>
      <c r="N76" s="38">
        <f t="shared" si="3"/>
        <v>4402</v>
      </c>
      <c r="O76" s="38">
        <f t="shared" si="11"/>
        <v>2867</v>
      </c>
    </row>
    <row r="77" spans="1:15" ht="12.75" customHeight="1" x14ac:dyDescent="0.2">
      <c r="A77" s="216" t="s">
        <v>688</v>
      </c>
      <c r="B77" s="216" t="s">
        <v>188</v>
      </c>
      <c r="C77" s="216" t="s">
        <v>189</v>
      </c>
      <c r="D77" s="218">
        <v>28</v>
      </c>
      <c r="E77" s="218">
        <v>14</v>
      </c>
      <c r="F77" s="218">
        <v>14</v>
      </c>
      <c r="G77" s="218">
        <v>0</v>
      </c>
      <c r="H77" s="36">
        <f>adatok!$B$12*G77</f>
        <v>0</v>
      </c>
      <c r="I77" s="38">
        <f t="shared" si="10"/>
        <v>50</v>
      </c>
      <c r="J77" s="37">
        <f>MIN(VLOOKUP(B77,órabérek,2,FALSE),adatok!$B$5)</f>
        <v>45</v>
      </c>
      <c r="K77" s="37">
        <f>adatok!$B$5</f>
        <v>45</v>
      </c>
      <c r="L77" s="37">
        <f t="shared" si="4"/>
        <v>3610</v>
      </c>
      <c r="M77" s="38">
        <f t="shared" si="2"/>
        <v>2346</v>
      </c>
      <c r="N77" s="38">
        <f t="shared" si="3"/>
        <v>1264</v>
      </c>
      <c r="O77" s="38">
        <f t="shared" si="11"/>
        <v>823</v>
      </c>
    </row>
    <row r="78" spans="1:15" ht="12.75" customHeight="1" x14ac:dyDescent="0.2">
      <c r="A78" s="216" t="s">
        <v>689</v>
      </c>
      <c r="B78" s="216" t="s">
        <v>188</v>
      </c>
      <c r="C78" s="216" t="s">
        <v>171</v>
      </c>
      <c r="D78" s="218">
        <v>28</v>
      </c>
      <c r="E78" s="218">
        <v>14</v>
      </c>
      <c r="F78" s="218">
        <v>13</v>
      </c>
      <c r="G78" s="218">
        <v>0</v>
      </c>
      <c r="H78" s="36">
        <f>adatok!$B$12*G78</f>
        <v>0</v>
      </c>
      <c r="I78" s="38">
        <f t="shared" si="10"/>
        <v>50</v>
      </c>
      <c r="J78" s="37">
        <f>MIN(VLOOKUP(B78,órabérek,2,FALSE),adatok!$B$5)</f>
        <v>45</v>
      </c>
      <c r="K78" s="37">
        <f>adatok!$B$5</f>
        <v>45</v>
      </c>
      <c r="L78" s="37">
        <f t="shared" si="4"/>
        <v>3610</v>
      </c>
      <c r="M78" s="38">
        <f t="shared" si="2"/>
        <v>2346</v>
      </c>
      <c r="N78" s="38">
        <f t="shared" si="3"/>
        <v>1264</v>
      </c>
      <c r="O78" s="38">
        <f t="shared" si="11"/>
        <v>823</v>
      </c>
    </row>
    <row r="79" spans="1:15" ht="12.75" customHeight="1" x14ac:dyDescent="0.2">
      <c r="A79" s="216" t="s">
        <v>690</v>
      </c>
      <c r="B79" s="216" t="s">
        <v>188</v>
      </c>
      <c r="C79" s="216" t="s">
        <v>171</v>
      </c>
      <c r="D79" s="218">
        <v>28</v>
      </c>
      <c r="E79" s="218">
        <v>14</v>
      </c>
      <c r="F79" s="218">
        <v>14</v>
      </c>
      <c r="G79" s="218">
        <v>0</v>
      </c>
      <c r="H79" s="36">
        <f>adatok!$B$12*G79</f>
        <v>0</v>
      </c>
      <c r="I79" s="38">
        <f t="shared" si="10"/>
        <v>50</v>
      </c>
      <c r="J79" s="37">
        <f>MIN(VLOOKUP(B79,órabérek,2,FALSE),adatok!$B$5)</f>
        <v>45</v>
      </c>
      <c r="K79" s="37">
        <f>adatok!$B$5</f>
        <v>45</v>
      </c>
      <c r="L79" s="37">
        <f t="shared" si="4"/>
        <v>3610</v>
      </c>
      <c r="M79" s="38">
        <f t="shared" si="2"/>
        <v>2346</v>
      </c>
      <c r="N79" s="38">
        <f t="shared" si="3"/>
        <v>1264</v>
      </c>
      <c r="O79" s="38">
        <f t="shared" si="11"/>
        <v>823</v>
      </c>
    </row>
    <row r="80" spans="1:15" ht="12.75" customHeight="1" x14ac:dyDescent="0.2">
      <c r="A80" s="216" t="s">
        <v>691</v>
      </c>
      <c r="B80" s="216" t="s">
        <v>186</v>
      </c>
      <c r="C80" s="216" t="s">
        <v>171</v>
      </c>
      <c r="D80" s="218">
        <v>28</v>
      </c>
      <c r="E80" s="218">
        <v>28</v>
      </c>
      <c r="F80" s="218">
        <v>14</v>
      </c>
      <c r="G80" s="218">
        <v>1</v>
      </c>
      <c r="H80" s="36">
        <f>adatok!$B$12*G80</f>
        <v>15</v>
      </c>
      <c r="I80" s="38">
        <f t="shared" si="10"/>
        <v>45</v>
      </c>
      <c r="J80" s="37">
        <f>MIN(VLOOKUP(B80,órabérek,2,FALSE),adatok!$B$5)</f>
        <v>45</v>
      </c>
      <c r="K80" s="37">
        <f>adatok!$B$5</f>
        <v>45</v>
      </c>
      <c r="L80" s="37">
        <f t="shared" si="4"/>
        <v>4635</v>
      </c>
      <c r="M80" s="38">
        <f t="shared" si="2"/>
        <v>3012</v>
      </c>
      <c r="N80" s="38">
        <f t="shared" si="3"/>
        <v>1623</v>
      </c>
      <c r="O80" s="38">
        <f t="shared" si="11"/>
        <v>1056</v>
      </c>
    </row>
    <row r="81" spans="1:15" ht="12.75" customHeight="1" x14ac:dyDescent="0.2">
      <c r="A81" s="265"/>
      <c r="B81" s="265"/>
      <c r="C81" s="265"/>
      <c r="D81" s="266"/>
      <c r="E81" s="266"/>
      <c r="F81" s="266"/>
      <c r="G81" s="266"/>
      <c r="H81" s="36">
        <f>adatok!$B$12*G81</f>
        <v>0</v>
      </c>
      <c r="I81" s="38">
        <f t="shared" ref="I81:I90" si="12">VLOOKUP(B81,órabérek,2,FALSE)</f>
        <v>0</v>
      </c>
      <c r="J81" s="37">
        <f>MIN(VLOOKUP(B81,órabérek,2,FALSE),adatok!$B$5)</f>
        <v>0</v>
      </c>
      <c r="K81" s="37">
        <f>adatok!$B$5</f>
        <v>45</v>
      </c>
      <c r="L81" s="37">
        <f t="shared" ref="L81:L90" si="13">D81*2*I81+E81*J81+INT(F81/3)*J81+H81*K81</f>
        <v>0</v>
      </c>
      <c r="M81" s="38">
        <f t="shared" ref="M81:M90" si="14">INT(L81*65%)</f>
        <v>0</v>
      </c>
      <c r="N81" s="38">
        <f t="shared" ref="N81:N90" si="15">L81-M81</f>
        <v>0</v>
      </c>
      <c r="O81" s="38">
        <f t="shared" ref="O81:O90" si="16">INT(L81*adókulcs)</f>
        <v>0</v>
      </c>
    </row>
    <row r="82" spans="1:15" ht="12.75" customHeight="1" x14ac:dyDescent="0.2">
      <c r="A82" s="265"/>
      <c r="B82" s="265"/>
      <c r="C82" s="265"/>
      <c r="D82" s="266"/>
      <c r="E82" s="266"/>
      <c r="F82" s="266"/>
      <c r="G82" s="266"/>
      <c r="H82" s="36">
        <f>adatok!$B$12*G82</f>
        <v>0</v>
      </c>
      <c r="I82" s="38">
        <f t="shared" si="12"/>
        <v>0</v>
      </c>
      <c r="J82" s="37">
        <f>MIN(VLOOKUP(B82,órabérek,2,FALSE),adatok!$B$5)</f>
        <v>0</v>
      </c>
      <c r="K82" s="37">
        <f>adatok!$B$5</f>
        <v>45</v>
      </c>
      <c r="L82" s="37">
        <f t="shared" si="13"/>
        <v>0</v>
      </c>
      <c r="M82" s="38">
        <f t="shared" si="14"/>
        <v>0</v>
      </c>
      <c r="N82" s="38">
        <f t="shared" si="15"/>
        <v>0</v>
      </c>
      <c r="O82" s="38">
        <f t="shared" si="16"/>
        <v>0</v>
      </c>
    </row>
    <row r="83" spans="1:15" ht="12.75" customHeight="1" x14ac:dyDescent="0.2">
      <c r="A83" s="265"/>
      <c r="B83" s="265"/>
      <c r="C83" s="265"/>
      <c r="D83" s="266"/>
      <c r="E83" s="266"/>
      <c r="F83" s="266"/>
      <c r="G83" s="266"/>
      <c r="H83" s="36">
        <f>adatok!$B$12*G83</f>
        <v>0</v>
      </c>
      <c r="I83" s="38">
        <f t="shared" si="12"/>
        <v>0</v>
      </c>
      <c r="J83" s="37">
        <f>MIN(VLOOKUP(B83,órabérek,2,FALSE),adatok!$B$5)</f>
        <v>0</v>
      </c>
      <c r="K83" s="37">
        <f>adatok!$B$5</f>
        <v>45</v>
      </c>
      <c r="L83" s="37">
        <f t="shared" si="13"/>
        <v>0</v>
      </c>
      <c r="M83" s="38">
        <f t="shared" si="14"/>
        <v>0</v>
      </c>
      <c r="N83" s="38">
        <f t="shared" si="15"/>
        <v>0</v>
      </c>
      <c r="O83" s="38">
        <f t="shared" si="16"/>
        <v>0</v>
      </c>
    </row>
    <row r="84" spans="1:15" ht="12.75" customHeight="1" x14ac:dyDescent="0.2">
      <c r="A84" s="265"/>
      <c r="B84" s="265"/>
      <c r="C84" s="265"/>
      <c r="D84" s="266"/>
      <c r="E84" s="266"/>
      <c r="F84" s="266"/>
      <c r="G84" s="266"/>
      <c r="H84" s="36">
        <f>adatok!$B$12*G84</f>
        <v>0</v>
      </c>
      <c r="I84" s="38">
        <f t="shared" si="12"/>
        <v>0</v>
      </c>
      <c r="J84" s="37">
        <f>MIN(VLOOKUP(B84,órabérek,2,FALSE),adatok!$B$5)</f>
        <v>0</v>
      </c>
      <c r="K84" s="37">
        <f>adatok!$B$5</f>
        <v>45</v>
      </c>
      <c r="L84" s="37">
        <f t="shared" si="13"/>
        <v>0</v>
      </c>
      <c r="M84" s="38">
        <f t="shared" si="14"/>
        <v>0</v>
      </c>
      <c r="N84" s="38">
        <f t="shared" si="15"/>
        <v>0</v>
      </c>
      <c r="O84" s="38">
        <f t="shared" si="16"/>
        <v>0</v>
      </c>
    </row>
    <row r="85" spans="1:15" ht="12.75" customHeight="1" x14ac:dyDescent="0.2">
      <c r="A85" s="265"/>
      <c r="B85" s="265"/>
      <c r="C85" s="265"/>
      <c r="D85" s="266"/>
      <c r="E85" s="266"/>
      <c r="F85" s="266"/>
      <c r="G85" s="266"/>
      <c r="H85" s="36">
        <f>adatok!$B$12*G85</f>
        <v>0</v>
      </c>
      <c r="I85" s="38">
        <f t="shared" si="12"/>
        <v>0</v>
      </c>
      <c r="J85" s="37">
        <f>MIN(VLOOKUP(B85,órabérek,2,FALSE),adatok!$B$5)</f>
        <v>0</v>
      </c>
      <c r="K85" s="37">
        <f>adatok!$B$5</f>
        <v>45</v>
      </c>
      <c r="L85" s="37">
        <f t="shared" si="13"/>
        <v>0</v>
      </c>
      <c r="M85" s="38">
        <f t="shared" si="14"/>
        <v>0</v>
      </c>
      <c r="N85" s="38">
        <f t="shared" si="15"/>
        <v>0</v>
      </c>
      <c r="O85" s="38">
        <f t="shared" si="16"/>
        <v>0</v>
      </c>
    </row>
    <row r="86" spans="1:15" ht="12.75" customHeight="1" x14ac:dyDescent="0.2">
      <c r="A86" s="265"/>
      <c r="B86" s="265"/>
      <c r="C86" s="265"/>
      <c r="D86" s="266"/>
      <c r="E86" s="266"/>
      <c r="F86" s="266"/>
      <c r="G86" s="266"/>
      <c r="H86" s="36">
        <f>adatok!$B$12*G86</f>
        <v>0</v>
      </c>
      <c r="I86" s="38">
        <f t="shared" si="12"/>
        <v>0</v>
      </c>
      <c r="J86" s="37">
        <f>MIN(VLOOKUP(B86,órabérek,2,FALSE),adatok!$B$5)</f>
        <v>0</v>
      </c>
      <c r="K86" s="37">
        <f>adatok!$B$5</f>
        <v>45</v>
      </c>
      <c r="L86" s="37">
        <f t="shared" si="13"/>
        <v>0</v>
      </c>
      <c r="M86" s="38">
        <f t="shared" si="14"/>
        <v>0</v>
      </c>
      <c r="N86" s="38">
        <f t="shared" si="15"/>
        <v>0</v>
      </c>
      <c r="O86" s="38">
        <f t="shared" si="16"/>
        <v>0</v>
      </c>
    </row>
    <row r="87" spans="1:15" ht="12.75" customHeight="1" x14ac:dyDescent="0.2">
      <c r="A87" s="265"/>
      <c r="B87" s="265"/>
      <c r="C87" s="265"/>
      <c r="D87" s="266"/>
      <c r="E87" s="266"/>
      <c r="F87" s="266"/>
      <c r="G87" s="266"/>
      <c r="H87" s="36">
        <f>adatok!$B$12*G87</f>
        <v>0</v>
      </c>
      <c r="I87" s="38">
        <f t="shared" si="12"/>
        <v>0</v>
      </c>
      <c r="J87" s="37">
        <f>MIN(VLOOKUP(B87,órabérek,2,FALSE),adatok!$B$5)</f>
        <v>0</v>
      </c>
      <c r="K87" s="37">
        <f>adatok!$B$5</f>
        <v>45</v>
      </c>
      <c r="L87" s="37">
        <f t="shared" si="13"/>
        <v>0</v>
      </c>
      <c r="M87" s="38">
        <f t="shared" si="14"/>
        <v>0</v>
      </c>
      <c r="N87" s="38">
        <f t="shared" si="15"/>
        <v>0</v>
      </c>
      <c r="O87" s="38">
        <f t="shared" si="16"/>
        <v>0</v>
      </c>
    </row>
    <row r="88" spans="1:15" ht="12.75" customHeight="1" x14ac:dyDescent="0.2">
      <c r="A88" s="265"/>
      <c r="B88" s="265"/>
      <c r="C88" s="265"/>
      <c r="D88" s="266"/>
      <c r="E88" s="266"/>
      <c r="F88" s="266"/>
      <c r="G88" s="266"/>
      <c r="H88" s="36">
        <f>adatok!$B$12*G88</f>
        <v>0</v>
      </c>
      <c r="I88" s="38">
        <f t="shared" si="12"/>
        <v>0</v>
      </c>
      <c r="J88" s="37">
        <f>MIN(VLOOKUP(B88,órabérek,2,FALSE),adatok!$B$5)</f>
        <v>0</v>
      </c>
      <c r="K88" s="37">
        <f>adatok!$B$5</f>
        <v>45</v>
      </c>
      <c r="L88" s="37">
        <f t="shared" si="13"/>
        <v>0</v>
      </c>
      <c r="M88" s="38">
        <f t="shared" si="14"/>
        <v>0</v>
      </c>
      <c r="N88" s="38">
        <f t="shared" si="15"/>
        <v>0</v>
      </c>
      <c r="O88" s="38">
        <f t="shared" si="16"/>
        <v>0</v>
      </c>
    </row>
    <row r="89" spans="1:15" ht="12.75" customHeight="1" x14ac:dyDescent="0.2">
      <c r="A89" s="265"/>
      <c r="B89" s="265"/>
      <c r="C89" s="265"/>
      <c r="D89" s="266"/>
      <c r="E89" s="266"/>
      <c r="F89" s="266"/>
      <c r="G89" s="266"/>
      <c r="H89" s="36">
        <f>adatok!$B$12*G89</f>
        <v>0</v>
      </c>
      <c r="I89" s="38">
        <f t="shared" si="12"/>
        <v>0</v>
      </c>
      <c r="J89" s="37">
        <f>MIN(VLOOKUP(B89,órabérek,2,FALSE),adatok!$B$5)</f>
        <v>0</v>
      </c>
      <c r="K89" s="37">
        <f>adatok!$B$5</f>
        <v>45</v>
      </c>
      <c r="L89" s="37">
        <f t="shared" si="13"/>
        <v>0</v>
      </c>
      <c r="M89" s="38">
        <f t="shared" si="14"/>
        <v>0</v>
      </c>
      <c r="N89" s="38">
        <f t="shared" si="15"/>
        <v>0</v>
      </c>
      <c r="O89" s="38">
        <f t="shared" si="16"/>
        <v>0</v>
      </c>
    </row>
    <row r="90" spans="1:15" ht="12.75" customHeight="1" x14ac:dyDescent="0.2">
      <c r="A90" s="265"/>
      <c r="B90" s="265"/>
      <c r="C90" s="265"/>
      <c r="D90" s="266"/>
      <c r="E90" s="266"/>
      <c r="F90" s="266"/>
      <c r="G90" s="266"/>
      <c r="H90" s="36">
        <f>adatok!$B$12*G90</f>
        <v>0</v>
      </c>
      <c r="I90" s="38">
        <f t="shared" si="12"/>
        <v>0</v>
      </c>
      <c r="J90" s="37">
        <f>MIN(VLOOKUP(B90,órabérek,2,FALSE),adatok!$B$5)</f>
        <v>0</v>
      </c>
      <c r="K90" s="37">
        <f>adatok!$B$5</f>
        <v>45</v>
      </c>
      <c r="L90" s="37">
        <f t="shared" si="13"/>
        <v>0</v>
      </c>
      <c r="M90" s="38">
        <f t="shared" si="14"/>
        <v>0</v>
      </c>
      <c r="N90" s="38">
        <f t="shared" si="15"/>
        <v>0</v>
      </c>
      <c r="O90" s="38">
        <f t="shared" si="16"/>
        <v>0</v>
      </c>
    </row>
    <row r="91" spans="1:15" ht="12.75" customHeight="1" x14ac:dyDescent="0.2">
      <c r="A91" s="216"/>
      <c r="B91" s="216"/>
      <c r="C91" s="216"/>
      <c r="D91" s="218"/>
      <c r="E91" s="218"/>
      <c r="F91" s="218"/>
      <c r="G91" s="218"/>
      <c r="H91" s="36">
        <f>adatok!$B$12*G91</f>
        <v>0</v>
      </c>
      <c r="I91" s="38">
        <f t="shared" si="10"/>
        <v>0</v>
      </c>
      <c r="J91" s="37">
        <f>MIN(VLOOKUP(B91,órabérek,2,FALSE),adatok!$B$5)</f>
        <v>0</v>
      </c>
      <c r="K91" s="37">
        <f>adatok!$B$5</f>
        <v>45</v>
      </c>
      <c r="L91" s="37">
        <f t="shared" si="4"/>
        <v>0</v>
      </c>
      <c r="M91" s="38">
        <f t="shared" si="2"/>
        <v>0</v>
      </c>
      <c r="N91" s="38">
        <f t="shared" si="3"/>
        <v>0</v>
      </c>
      <c r="O91" s="38">
        <f t="shared" si="11"/>
        <v>0</v>
      </c>
    </row>
    <row r="92" spans="1:15" ht="12.75" customHeight="1" x14ac:dyDescent="0.2">
      <c r="A92" s="216"/>
      <c r="B92" s="216"/>
      <c r="C92" s="216"/>
      <c r="D92" s="218"/>
      <c r="E92" s="218"/>
      <c r="F92" s="218"/>
      <c r="G92" s="218"/>
      <c r="H92" s="36">
        <f>adatok!$B$12*G92</f>
        <v>0</v>
      </c>
      <c r="I92" s="38">
        <f t="shared" si="10"/>
        <v>0</v>
      </c>
      <c r="J92" s="37">
        <f>MIN(VLOOKUP(B92,órabérek,2,FALSE),adatok!$B$5)</f>
        <v>0</v>
      </c>
      <c r="K92" s="37">
        <f>adatok!$B$5</f>
        <v>45</v>
      </c>
      <c r="L92" s="37">
        <f t="shared" si="4"/>
        <v>0</v>
      </c>
      <c r="M92" s="38">
        <f t="shared" si="2"/>
        <v>0</v>
      </c>
      <c r="N92" s="38">
        <f t="shared" si="3"/>
        <v>0</v>
      </c>
      <c r="O92" s="38">
        <f t="shared" si="11"/>
        <v>0</v>
      </c>
    </row>
    <row r="93" spans="1:15" ht="12.75" customHeight="1" x14ac:dyDescent="0.2">
      <c r="A93" s="216"/>
      <c r="B93" s="216"/>
      <c r="C93" s="216"/>
      <c r="D93" s="218"/>
      <c r="E93" s="218"/>
      <c r="F93" s="218"/>
      <c r="G93" s="218"/>
      <c r="H93" s="36">
        <f>adatok!$B$12*G93</f>
        <v>0</v>
      </c>
      <c r="I93" s="38">
        <f t="shared" si="10"/>
        <v>0</v>
      </c>
      <c r="J93" s="37">
        <f>MIN(VLOOKUP(B93,órabérek,2,FALSE),adatok!$B$5)</f>
        <v>0</v>
      </c>
      <c r="K93" s="37">
        <f>adatok!$B$5</f>
        <v>45</v>
      </c>
      <c r="L93" s="37">
        <f t="shared" si="4"/>
        <v>0</v>
      </c>
      <c r="M93" s="38">
        <f t="shared" si="2"/>
        <v>0</v>
      </c>
      <c r="N93" s="38">
        <f t="shared" si="3"/>
        <v>0</v>
      </c>
      <c r="O93" s="38">
        <f t="shared" si="11"/>
        <v>0</v>
      </c>
    </row>
    <row r="94" spans="1:15" ht="12.75" customHeight="1" x14ac:dyDescent="0.2">
      <c r="A94" s="216"/>
      <c r="B94" s="216"/>
      <c r="C94" s="216"/>
      <c r="D94" s="218"/>
      <c r="E94" s="218"/>
      <c r="F94" s="218"/>
      <c r="G94" s="218"/>
      <c r="H94" s="36">
        <f>adatok!$B$12*G94</f>
        <v>0</v>
      </c>
      <c r="I94" s="38">
        <f t="shared" si="10"/>
        <v>0</v>
      </c>
      <c r="J94" s="37">
        <f>MIN(VLOOKUP(B94,órabérek,2,FALSE),adatok!$B$5)</f>
        <v>0</v>
      </c>
      <c r="K94" s="37">
        <f>adatok!$B$5</f>
        <v>45</v>
      </c>
      <c r="L94" s="37">
        <f t="shared" si="4"/>
        <v>0</v>
      </c>
      <c r="M94" s="38">
        <f t="shared" si="2"/>
        <v>0</v>
      </c>
      <c r="N94" s="38">
        <f t="shared" si="3"/>
        <v>0</v>
      </c>
      <c r="O94" s="38">
        <f t="shared" si="11"/>
        <v>0</v>
      </c>
    </row>
    <row r="95" spans="1:15" ht="12.75" customHeight="1" x14ac:dyDescent="0.2">
      <c r="A95" s="216"/>
      <c r="B95" s="216"/>
      <c r="C95" s="216"/>
      <c r="D95" s="218"/>
      <c r="E95" s="218"/>
      <c r="F95" s="218"/>
      <c r="G95" s="218"/>
      <c r="H95" s="36">
        <f>adatok!$B$12*G95</f>
        <v>0</v>
      </c>
      <c r="I95" s="38">
        <f t="shared" si="10"/>
        <v>0</v>
      </c>
      <c r="J95" s="37">
        <f>MIN(VLOOKUP(B95,órabérek,2,FALSE),adatok!$B$5)</f>
        <v>0</v>
      </c>
      <c r="K95" s="37">
        <f>adatok!$B$5</f>
        <v>45</v>
      </c>
      <c r="L95" s="37">
        <f t="shared" si="4"/>
        <v>0</v>
      </c>
      <c r="M95" s="38">
        <f t="shared" si="2"/>
        <v>0</v>
      </c>
      <c r="N95" s="38">
        <f t="shared" si="3"/>
        <v>0</v>
      </c>
      <c r="O95" s="38">
        <f t="shared" si="11"/>
        <v>0</v>
      </c>
    </row>
    <row r="96" spans="1:15" ht="12.75" customHeight="1" x14ac:dyDescent="0.2">
      <c r="A96" s="216"/>
      <c r="B96" s="216"/>
      <c r="C96" s="216"/>
      <c r="D96" s="218"/>
      <c r="E96" s="218"/>
      <c r="F96" s="218"/>
      <c r="G96" s="218"/>
      <c r="H96" s="36">
        <f>adatok!$B$12*G96</f>
        <v>0</v>
      </c>
      <c r="I96" s="38">
        <f t="shared" si="10"/>
        <v>0</v>
      </c>
      <c r="J96" s="37">
        <f>MIN(VLOOKUP(B96,órabérek,2,FALSE),adatok!$B$5)</f>
        <v>0</v>
      </c>
      <c r="K96" s="37">
        <f>adatok!$B$5</f>
        <v>45</v>
      </c>
      <c r="L96" s="37">
        <f t="shared" si="4"/>
        <v>0</v>
      </c>
      <c r="M96" s="38">
        <f t="shared" si="2"/>
        <v>0</v>
      </c>
      <c r="N96" s="38">
        <f t="shared" si="3"/>
        <v>0</v>
      </c>
      <c r="O96" s="38">
        <f t="shared" si="11"/>
        <v>0</v>
      </c>
    </row>
    <row r="97" spans="1:16" ht="12.75" customHeight="1" x14ac:dyDescent="0.2">
      <c r="A97" s="216"/>
      <c r="B97" s="216"/>
      <c r="C97" s="216"/>
      <c r="D97" s="218"/>
      <c r="E97" s="218"/>
      <c r="F97" s="218"/>
      <c r="G97" s="218"/>
      <c r="H97" s="36">
        <f>adatok!$B$12*G97</f>
        <v>0</v>
      </c>
      <c r="I97" s="38">
        <f t="shared" si="10"/>
        <v>0</v>
      </c>
      <c r="J97" s="37">
        <f>MIN(VLOOKUP(B97,órabérek,2,FALSE),adatok!$B$5)</f>
        <v>0</v>
      </c>
      <c r="K97" s="37">
        <f>adatok!$B$5</f>
        <v>45</v>
      </c>
      <c r="L97" s="37">
        <f t="shared" si="4"/>
        <v>0</v>
      </c>
      <c r="M97" s="38">
        <f t="shared" si="2"/>
        <v>0</v>
      </c>
      <c r="N97" s="38">
        <f t="shared" si="3"/>
        <v>0</v>
      </c>
      <c r="O97" s="38">
        <f t="shared" si="11"/>
        <v>0</v>
      </c>
    </row>
    <row r="98" spans="1:16" s="12" customFormat="1" ht="11.25" x14ac:dyDescent="0.2">
      <c r="A98" s="166" t="s">
        <v>342</v>
      </c>
      <c r="B98" s="16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34"/>
    </row>
    <row r="99" spans="1:16" ht="12.75" customHeight="1" x14ac:dyDescent="0.2">
      <c r="A99" s="252" t="s">
        <v>408</v>
      </c>
      <c r="B99" s="252" t="s">
        <v>188</v>
      </c>
      <c r="C99" s="252" t="s">
        <v>607</v>
      </c>
      <c r="D99" s="218">
        <v>0</v>
      </c>
      <c r="E99" s="218">
        <v>70</v>
      </c>
      <c r="F99" s="218">
        <v>50</v>
      </c>
      <c r="G99" s="218"/>
      <c r="H99" s="36">
        <f>adatok!$B$12*G99</f>
        <v>0</v>
      </c>
      <c r="I99" s="38">
        <f t="shared" si="10"/>
        <v>50</v>
      </c>
      <c r="J99" s="37">
        <f>MIN(VLOOKUP(B99,órabérek,2,FALSE),adatok!$B$5)</f>
        <v>45</v>
      </c>
      <c r="K99" s="37">
        <f>adatok!$B$5</f>
        <v>45</v>
      </c>
      <c r="L99" s="37">
        <f t="shared" si="4"/>
        <v>3870</v>
      </c>
      <c r="M99" s="38">
        <f t="shared" si="2"/>
        <v>2515</v>
      </c>
      <c r="N99" s="38">
        <f t="shared" si="3"/>
        <v>1355</v>
      </c>
      <c r="O99" s="38">
        <f t="shared" si="11"/>
        <v>882</v>
      </c>
    </row>
    <row r="100" spans="1:16" ht="12.75" customHeight="1" x14ac:dyDescent="0.2">
      <c r="A100" s="253" t="s">
        <v>420</v>
      </c>
      <c r="B100" s="253" t="s">
        <v>81</v>
      </c>
      <c r="C100" s="252" t="s">
        <v>371</v>
      </c>
      <c r="D100" s="218">
        <v>42</v>
      </c>
      <c r="E100" s="218">
        <v>38</v>
      </c>
      <c r="F100" s="218">
        <v>25</v>
      </c>
      <c r="G100" s="218"/>
      <c r="H100" s="36">
        <f>adatok!$B$12*G100</f>
        <v>0</v>
      </c>
      <c r="I100" s="38">
        <f t="shared" si="10"/>
        <v>50</v>
      </c>
      <c r="J100" s="37">
        <f>MIN(VLOOKUP(B100,órabérek,2,FALSE),adatok!$B$5)</f>
        <v>45</v>
      </c>
      <c r="K100" s="37">
        <f>adatok!$B$5</f>
        <v>45</v>
      </c>
      <c r="L100" s="37">
        <f t="shared" si="4"/>
        <v>6270</v>
      </c>
      <c r="M100" s="38">
        <f t="shared" si="2"/>
        <v>4075</v>
      </c>
      <c r="N100" s="38">
        <f t="shared" si="3"/>
        <v>2195</v>
      </c>
      <c r="O100" s="38">
        <f t="shared" si="11"/>
        <v>1429</v>
      </c>
    </row>
    <row r="101" spans="1:16" ht="12.75" customHeight="1" x14ac:dyDescent="0.2">
      <c r="A101" s="216" t="s">
        <v>409</v>
      </c>
      <c r="B101" s="252" t="s">
        <v>188</v>
      </c>
      <c r="C101" s="252" t="s">
        <v>371</v>
      </c>
      <c r="D101" s="218">
        <v>42</v>
      </c>
      <c r="E101" s="218">
        <v>122</v>
      </c>
      <c r="F101" s="218">
        <v>50</v>
      </c>
      <c r="G101" s="218"/>
      <c r="H101" s="36">
        <f>adatok!$B$12*G101</f>
        <v>0</v>
      </c>
      <c r="I101" s="38">
        <f t="shared" si="10"/>
        <v>50</v>
      </c>
      <c r="J101" s="37">
        <f>MIN(VLOOKUP(B101,órabérek,2,FALSE),adatok!$B$5)</f>
        <v>45</v>
      </c>
      <c r="K101" s="37">
        <f>adatok!$B$5</f>
        <v>45</v>
      </c>
      <c r="L101" s="37">
        <f t="shared" si="4"/>
        <v>10410</v>
      </c>
      <c r="M101" s="38">
        <f t="shared" si="2"/>
        <v>6766</v>
      </c>
      <c r="N101" s="38">
        <f t="shared" si="3"/>
        <v>3644</v>
      </c>
      <c r="O101" s="38">
        <f t="shared" si="11"/>
        <v>2373</v>
      </c>
    </row>
    <row r="102" spans="1:16" ht="12.75" customHeight="1" x14ac:dyDescent="0.2">
      <c r="A102" s="216" t="s">
        <v>601</v>
      </c>
      <c r="B102" s="252" t="s">
        <v>188</v>
      </c>
      <c r="C102" s="252" t="s">
        <v>371</v>
      </c>
      <c r="D102" s="218">
        <v>24</v>
      </c>
      <c r="E102" s="218">
        <v>38</v>
      </c>
      <c r="F102" s="218">
        <v>0</v>
      </c>
      <c r="G102" s="218"/>
      <c r="H102" s="36">
        <f>adatok!$B$12*G102</f>
        <v>0</v>
      </c>
      <c r="I102" s="38">
        <f t="shared" si="10"/>
        <v>50</v>
      </c>
      <c r="J102" s="37">
        <f>MIN(VLOOKUP(B102,órabérek,2,FALSE),adatok!$B$5)</f>
        <v>45</v>
      </c>
      <c r="K102" s="37">
        <f>adatok!$B$5</f>
        <v>45</v>
      </c>
      <c r="L102" s="37">
        <f t="shared" si="4"/>
        <v>4110</v>
      </c>
      <c r="M102" s="38">
        <f t="shared" si="2"/>
        <v>2671</v>
      </c>
      <c r="N102" s="38">
        <f t="shared" si="3"/>
        <v>1439</v>
      </c>
      <c r="O102" s="38">
        <f t="shared" si="11"/>
        <v>937</v>
      </c>
    </row>
    <row r="103" spans="1:16" ht="12.75" customHeight="1" x14ac:dyDescent="0.2">
      <c r="A103" s="216" t="s">
        <v>602</v>
      </c>
      <c r="B103" s="252" t="s">
        <v>188</v>
      </c>
      <c r="C103" s="252" t="s">
        <v>371</v>
      </c>
      <c r="D103" s="218">
        <v>14</v>
      </c>
      <c r="E103" s="218">
        <v>84</v>
      </c>
      <c r="F103" s="218">
        <v>7</v>
      </c>
      <c r="G103" s="218"/>
      <c r="H103" s="36">
        <f>adatok!$B$12*G103</f>
        <v>0</v>
      </c>
      <c r="I103" s="38">
        <f t="shared" si="10"/>
        <v>50</v>
      </c>
      <c r="J103" s="37">
        <f>MIN(VLOOKUP(B103,órabérek,2,FALSE),adatok!$B$5)</f>
        <v>45</v>
      </c>
      <c r="K103" s="37">
        <f>adatok!$B$5</f>
        <v>45</v>
      </c>
      <c r="L103" s="37">
        <f t="shared" si="4"/>
        <v>5270</v>
      </c>
      <c r="M103" s="38">
        <f t="shared" si="2"/>
        <v>3425</v>
      </c>
      <c r="N103" s="38">
        <f t="shared" si="3"/>
        <v>1845</v>
      </c>
      <c r="O103" s="38">
        <f t="shared" si="11"/>
        <v>1201</v>
      </c>
    </row>
    <row r="104" spans="1:16" ht="14.25" customHeight="1" x14ac:dyDescent="0.2">
      <c r="A104" s="216" t="s">
        <v>413</v>
      </c>
      <c r="B104" s="216" t="s">
        <v>186</v>
      </c>
      <c r="C104" s="252" t="s">
        <v>371</v>
      </c>
      <c r="D104" s="218">
        <v>0</v>
      </c>
      <c r="E104" s="218">
        <v>56</v>
      </c>
      <c r="F104" s="218">
        <v>40</v>
      </c>
      <c r="G104" s="218"/>
      <c r="H104" s="36">
        <f>adatok!$B$12*G104</f>
        <v>0</v>
      </c>
      <c r="I104" s="38">
        <f t="shared" ref="I104:I135" si="17">VLOOKUP(B104,órabérek,2,FALSE)</f>
        <v>45</v>
      </c>
      <c r="J104" s="37">
        <f>MIN(VLOOKUP(B104,órabérek,2,FALSE),adatok!$B$5)</f>
        <v>45</v>
      </c>
      <c r="K104" s="37">
        <f>adatok!$B$5</f>
        <v>45</v>
      </c>
      <c r="L104" s="37">
        <f t="shared" si="4"/>
        <v>3105</v>
      </c>
      <c r="M104" s="38">
        <f t="shared" si="2"/>
        <v>2018</v>
      </c>
      <c r="N104" s="38">
        <f t="shared" si="3"/>
        <v>1087</v>
      </c>
      <c r="O104" s="38">
        <f t="shared" ref="O104:O135" si="18">INT(L104*adókulcs)</f>
        <v>707</v>
      </c>
    </row>
    <row r="105" spans="1:16" ht="14.25" customHeight="1" x14ac:dyDescent="0.2">
      <c r="A105" s="253" t="s">
        <v>603</v>
      </c>
      <c r="B105" s="216" t="s">
        <v>186</v>
      </c>
      <c r="C105" s="252" t="s">
        <v>371</v>
      </c>
      <c r="D105" s="218">
        <v>24</v>
      </c>
      <c r="E105" s="218">
        <v>24</v>
      </c>
      <c r="F105" s="218">
        <v>26</v>
      </c>
      <c r="G105" s="218"/>
      <c r="H105" s="36">
        <f>adatok!$B$12*G105</f>
        <v>0</v>
      </c>
      <c r="I105" s="38">
        <f t="shared" si="17"/>
        <v>45</v>
      </c>
      <c r="J105" s="37">
        <f>MIN(VLOOKUP(B105,órabérek,2,FALSE),adatok!$B$5)</f>
        <v>45</v>
      </c>
      <c r="K105" s="37">
        <f>adatok!$B$5</f>
        <v>45</v>
      </c>
      <c r="L105" s="37">
        <f t="shared" ref="L105:L154" si="19">D105*2*I105+E105*J105+INT(F105/3)*J105+H105*K105</f>
        <v>3600</v>
      </c>
      <c r="M105" s="38">
        <f t="shared" ref="M105:M154" si="20">INT(L105*65%)</f>
        <v>2340</v>
      </c>
      <c r="N105" s="38">
        <f t="shared" ref="N105:N154" si="21">L105-M105</f>
        <v>1260</v>
      </c>
      <c r="O105" s="38">
        <f t="shared" si="18"/>
        <v>820</v>
      </c>
    </row>
    <row r="106" spans="1:16" ht="14.25" customHeight="1" x14ac:dyDescent="0.2">
      <c r="A106" s="216" t="s">
        <v>422</v>
      </c>
      <c r="B106" s="216" t="s">
        <v>186</v>
      </c>
      <c r="C106" s="252" t="s">
        <v>371</v>
      </c>
      <c r="D106" s="218">
        <v>0</v>
      </c>
      <c r="E106" s="218">
        <v>114</v>
      </c>
      <c r="F106" s="218">
        <v>0</v>
      </c>
      <c r="G106" s="218"/>
      <c r="H106" s="36">
        <f>adatok!$B$12*G106</f>
        <v>0</v>
      </c>
      <c r="I106" s="38">
        <f t="shared" si="17"/>
        <v>45</v>
      </c>
      <c r="J106" s="37">
        <f>MIN(VLOOKUP(B106,órabérek,2,FALSE),adatok!$B$5)</f>
        <v>45</v>
      </c>
      <c r="K106" s="37">
        <f>adatok!$B$5</f>
        <v>45</v>
      </c>
      <c r="L106" s="37">
        <f t="shared" si="19"/>
        <v>5130</v>
      </c>
      <c r="M106" s="38">
        <f t="shared" si="20"/>
        <v>3334</v>
      </c>
      <c r="N106" s="38">
        <f t="shared" si="21"/>
        <v>1796</v>
      </c>
      <c r="O106" s="38">
        <f t="shared" si="18"/>
        <v>1169</v>
      </c>
    </row>
    <row r="107" spans="1:16" ht="14.25" customHeight="1" x14ac:dyDescent="0.2">
      <c r="A107" s="216" t="s">
        <v>604</v>
      </c>
      <c r="B107" s="216" t="s">
        <v>186</v>
      </c>
      <c r="C107" s="252" t="s">
        <v>371</v>
      </c>
      <c r="D107" s="218">
        <v>24</v>
      </c>
      <c r="E107" s="218">
        <v>66</v>
      </c>
      <c r="F107" s="218">
        <v>0</v>
      </c>
      <c r="G107" s="218"/>
      <c r="H107" s="36">
        <f>adatok!$B$12*G107</f>
        <v>0</v>
      </c>
      <c r="I107" s="38">
        <f t="shared" si="17"/>
        <v>45</v>
      </c>
      <c r="J107" s="37">
        <f>MIN(VLOOKUP(B107,órabérek,2,FALSE),adatok!$B$5)</f>
        <v>45</v>
      </c>
      <c r="K107" s="37">
        <f>adatok!$B$5</f>
        <v>45</v>
      </c>
      <c r="L107" s="37">
        <f t="shared" si="19"/>
        <v>5130</v>
      </c>
      <c r="M107" s="38">
        <f t="shared" si="20"/>
        <v>3334</v>
      </c>
      <c r="N107" s="38">
        <f t="shared" si="21"/>
        <v>1796</v>
      </c>
      <c r="O107" s="38">
        <f t="shared" si="18"/>
        <v>1169</v>
      </c>
    </row>
    <row r="108" spans="1:16" ht="14.25" customHeight="1" x14ac:dyDescent="0.2">
      <c r="A108" s="216" t="s">
        <v>414</v>
      </c>
      <c r="B108" s="216" t="s">
        <v>186</v>
      </c>
      <c r="C108" s="252" t="s">
        <v>371</v>
      </c>
      <c r="D108" s="218">
        <v>14</v>
      </c>
      <c r="E108" s="218">
        <v>230</v>
      </c>
      <c r="F108" s="218">
        <v>60</v>
      </c>
      <c r="G108" s="218"/>
      <c r="H108" s="36">
        <f>adatok!$B$12*G108</f>
        <v>0</v>
      </c>
      <c r="I108" s="38">
        <f t="shared" si="17"/>
        <v>45</v>
      </c>
      <c r="J108" s="37">
        <f>MIN(VLOOKUP(B108,órabérek,2,FALSE),adatok!$B$5)</f>
        <v>45</v>
      </c>
      <c r="K108" s="37">
        <f>adatok!$B$5</f>
        <v>45</v>
      </c>
      <c r="L108" s="37">
        <f t="shared" si="19"/>
        <v>12510</v>
      </c>
      <c r="M108" s="38">
        <f t="shared" si="20"/>
        <v>8131</v>
      </c>
      <c r="N108" s="38">
        <f t="shared" si="21"/>
        <v>4379</v>
      </c>
      <c r="O108" s="38">
        <f t="shared" si="18"/>
        <v>2852</v>
      </c>
    </row>
    <row r="109" spans="1:16" ht="14.25" customHeight="1" x14ac:dyDescent="0.2">
      <c r="A109" s="216" t="s">
        <v>605</v>
      </c>
      <c r="B109" s="216" t="s">
        <v>186</v>
      </c>
      <c r="C109" s="252" t="s">
        <v>371</v>
      </c>
      <c r="D109" s="218">
        <v>26</v>
      </c>
      <c r="E109" s="218">
        <v>116</v>
      </c>
      <c r="F109" s="218">
        <v>0</v>
      </c>
      <c r="G109" s="218"/>
      <c r="H109" s="36">
        <f>adatok!$B$12*G109</f>
        <v>0</v>
      </c>
      <c r="I109" s="38">
        <f t="shared" si="17"/>
        <v>45</v>
      </c>
      <c r="J109" s="37">
        <f>MIN(VLOOKUP(B109,órabérek,2,FALSE),adatok!$B$5)</f>
        <v>45</v>
      </c>
      <c r="K109" s="37">
        <f>adatok!$B$5</f>
        <v>45</v>
      </c>
      <c r="L109" s="37">
        <f t="shared" si="19"/>
        <v>7560</v>
      </c>
      <c r="M109" s="38">
        <f t="shared" si="20"/>
        <v>4914</v>
      </c>
      <c r="N109" s="38">
        <f t="shared" si="21"/>
        <v>2646</v>
      </c>
      <c r="O109" s="38">
        <f t="shared" si="18"/>
        <v>1723</v>
      </c>
    </row>
    <row r="110" spans="1:16" ht="14.25" customHeight="1" x14ac:dyDescent="0.2">
      <c r="A110" s="216" t="s">
        <v>412</v>
      </c>
      <c r="B110" s="216" t="s">
        <v>186</v>
      </c>
      <c r="C110" s="252" t="s">
        <v>371</v>
      </c>
      <c r="D110" s="218">
        <v>0</v>
      </c>
      <c r="E110" s="218">
        <v>166</v>
      </c>
      <c r="F110" s="218">
        <v>0</v>
      </c>
      <c r="G110" s="218"/>
      <c r="H110" s="36">
        <f>adatok!$B$12*G110</f>
        <v>0</v>
      </c>
      <c r="I110" s="38">
        <f t="shared" si="17"/>
        <v>45</v>
      </c>
      <c r="J110" s="37">
        <f>MIN(VLOOKUP(B110,órabérek,2,FALSE),adatok!$B$5)</f>
        <v>45</v>
      </c>
      <c r="K110" s="37">
        <f>adatok!$B$5</f>
        <v>45</v>
      </c>
      <c r="L110" s="37">
        <f t="shared" si="19"/>
        <v>7470</v>
      </c>
      <c r="M110" s="38">
        <f t="shared" si="20"/>
        <v>4855</v>
      </c>
      <c r="N110" s="38">
        <f t="shared" si="21"/>
        <v>2615</v>
      </c>
      <c r="O110" s="38">
        <f t="shared" si="18"/>
        <v>1703</v>
      </c>
    </row>
    <row r="111" spans="1:16" ht="14.25" customHeight="1" x14ac:dyDescent="0.2">
      <c r="A111" s="216" t="s">
        <v>418</v>
      </c>
      <c r="B111" s="216" t="s">
        <v>183</v>
      </c>
      <c r="C111" s="252" t="s">
        <v>371</v>
      </c>
      <c r="D111" s="218">
        <v>0</v>
      </c>
      <c r="E111" s="218">
        <v>28</v>
      </c>
      <c r="F111" s="218">
        <v>0</v>
      </c>
      <c r="G111" s="218"/>
      <c r="H111" s="36">
        <f>adatok!$B$12*G111</f>
        <v>0</v>
      </c>
      <c r="I111" s="38">
        <f t="shared" si="17"/>
        <v>35</v>
      </c>
      <c r="J111" s="37">
        <f>MIN(VLOOKUP(B111,órabérek,2,FALSE),adatok!$B$5)</f>
        <v>35</v>
      </c>
      <c r="K111" s="37">
        <f>adatok!$B$5</f>
        <v>45</v>
      </c>
      <c r="L111" s="37">
        <f t="shared" si="19"/>
        <v>980</v>
      </c>
      <c r="M111" s="38">
        <f t="shared" si="20"/>
        <v>637</v>
      </c>
      <c r="N111" s="38">
        <f t="shared" si="21"/>
        <v>343</v>
      </c>
      <c r="O111" s="38">
        <f t="shared" si="18"/>
        <v>223</v>
      </c>
    </row>
    <row r="112" spans="1:16" ht="14.25" customHeight="1" x14ac:dyDescent="0.2">
      <c r="A112" s="216" t="s">
        <v>423</v>
      </c>
      <c r="B112" s="216" t="s">
        <v>186</v>
      </c>
      <c r="C112" s="252" t="s">
        <v>371</v>
      </c>
      <c r="D112" s="218">
        <v>12</v>
      </c>
      <c r="E112" s="218">
        <v>24</v>
      </c>
      <c r="F112" s="218">
        <v>0</v>
      </c>
      <c r="G112" s="218"/>
      <c r="H112" s="36">
        <f>adatok!$B$12*G112</f>
        <v>0</v>
      </c>
      <c r="I112" s="38">
        <f t="shared" si="17"/>
        <v>45</v>
      </c>
      <c r="J112" s="37">
        <f>MIN(VLOOKUP(B112,órabérek,2,FALSE),adatok!$B$5)</f>
        <v>45</v>
      </c>
      <c r="K112" s="37">
        <f>adatok!$B$5</f>
        <v>45</v>
      </c>
      <c r="L112" s="37">
        <f t="shared" si="19"/>
        <v>2160</v>
      </c>
      <c r="M112" s="38">
        <f t="shared" si="20"/>
        <v>1404</v>
      </c>
      <c r="N112" s="38">
        <f t="shared" si="21"/>
        <v>756</v>
      </c>
      <c r="O112" s="38">
        <f t="shared" si="18"/>
        <v>492</v>
      </c>
    </row>
    <row r="113" spans="1:15" ht="14.25" customHeight="1" x14ac:dyDescent="0.2">
      <c r="A113" s="216" t="s">
        <v>606</v>
      </c>
      <c r="B113" s="216" t="s">
        <v>183</v>
      </c>
      <c r="C113" s="252" t="s">
        <v>371</v>
      </c>
      <c r="D113" s="218">
        <v>0</v>
      </c>
      <c r="E113" s="218">
        <v>56</v>
      </c>
      <c r="F113" s="218">
        <v>0</v>
      </c>
      <c r="G113" s="218"/>
      <c r="H113" s="36">
        <f>adatok!$B$12*G113</f>
        <v>0</v>
      </c>
      <c r="I113" s="38">
        <f t="shared" si="17"/>
        <v>35</v>
      </c>
      <c r="J113" s="37">
        <f>MIN(VLOOKUP(B113,órabérek,2,FALSE),adatok!$B$5)</f>
        <v>35</v>
      </c>
      <c r="K113" s="37">
        <f>adatok!$B$5</f>
        <v>45</v>
      </c>
      <c r="L113" s="37">
        <f t="shared" si="19"/>
        <v>1960</v>
      </c>
      <c r="M113" s="38">
        <f t="shared" si="20"/>
        <v>1274</v>
      </c>
      <c r="N113" s="38">
        <f t="shared" si="21"/>
        <v>686</v>
      </c>
      <c r="O113" s="38">
        <f t="shared" si="18"/>
        <v>446</v>
      </c>
    </row>
    <row r="114" spans="1:15" ht="14.25" customHeight="1" x14ac:dyDescent="0.2">
      <c r="A114" s="216" t="s">
        <v>440</v>
      </c>
      <c r="B114" s="216" t="s">
        <v>186</v>
      </c>
      <c r="C114" s="216" t="s">
        <v>174</v>
      </c>
      <c r="D114" s="218"/>
      <c r="E114" s="218">
        <v>112</v>
      </c>
      <c r="F114" s="218"/>
      <c r="G114" s="218">
        <v>5</v>
      </c>
      <c r="H114" s="36">
        <f>adatok!$B$12*G114</f>
        <v>75</v>
      </c>
      <c r="I114" s="38">
        <f t="shared" si="17"/>
        <v>45</v>
      </c>
      <c r="J114" s="37">
        <f>MIN(VLOOKUP(B114,órabérek,2,FALSE),adatok!$B$5)</f>
        <v>45</v>
      </c>
      <c r="K114" s="37">
        <f>adatok!$B$5</f>
        <v>45</v>
      </c>
      <c r="L114" s="37">
        <f t="shared" si="19"/>
        <v>8415</v>
      </c>
      <c r="M114" s="38">
        <f t="shared" si="20"/>
        <v>5469</v>
      </c>
      <c r="N114" s="38">
        <f t="shared" si="21"/>
        <v>2946</v>
      </c>
      <c r="O114" s="38">
        <f t="shared" si="18"/>
        <v>1918</v>
      </c>
    </row>
    <row r="115" spans="1:15" ht="14.25" customHeight="1" x14ac:dyDescent="0.2">
      <c r="A115" s="216" t="s">
        <v>435</v>
      </c>
      <c r="B115" s="216" t="s">
        <v>188</v>
      </c>
      <c r="C115" s="216" t="s">
        <v>174</v>
      </c>
      <c r="D115" s="218"/>
      <c r="E115" s="218">
        <v>14</v>
      </c>
      <c r="F115" s="218"/>
      <c r="G115" s="218"/>
      <c r="H115" s="36">
        <f>adatok!$B$12*G115</f>
        <v>0</v>
      </c>
      <c r="I115" s="38">
        <f t="shared" si="17"/>
        <v>50</v>
      </c>
      <c r="J115" s="37">
        <f>MIN(VLOOKUP(B115,órabérek,2,FALSE),adatok!$B$5)</f>
        <v>45</v>
      </c>
      <c r="K115" s="37">
        <f>adatok!$B$5</f>
        <v>45</v>
      </c>
      <c r="L115" s="37">
        <f t="shared" si="19"/>
        <v>630</v>
      </c>
      <c r="M115" s="38">
        <f t="shared" si="20"/>
        <v>409</v>
      </c>
      <c r="N115" s="38">
        <f t="shared" si="21"/>
        <v>221</v>
      </c>
      <c r="O115" s="38">
        <f t="shared" si="18"/>
        <v>143</v>
      </c>
    </row>
    <row r="116" spans="1:15" ht="14.25" customHeight="1" x14ac:dyDescent="0.2">
      <c r="A116" s="216" t="s">
        <v>615</v>
      </c>
      <c r="B116" s="216" t="s">
        <v>188</v>
      </c>
      <c r="C116" s="216" t="s">
        <v>174</v>
      </c>
      <c r="D116" s="218">
        <v>0</v>
      </c>
      <c r="E116" s="218">
        <v>0</v>
      </c>
      <c r="F116" s="218"/>
      <c r="G116" s="218"/>
      <c r="H116" s="36">
        <f>adatok!$B$12*G116</f>
        <v>0</v>
      </c>
      <c r="I116" s="38">
        <f t="shared" si="17"/>
        <v>50</v>
      </c>
      <c r="J116" s="37">
        <f>MIN(VLOOKUP(B116,órabérek,2,FALSE),adatok!$B$5)</f>
        <v>45</v>
      </c>
      <c r="K116" s="37">
        <f>adatok!$B$5</f>
        <v>45</v>
      </c>
      <c r="L116" s="37">
        <f t="shared" si="19"/>
        <v>0</v>
      </c>
      <c r="M116" s="38">
        <f t="shared" si="20"/>
        <v>0</v>
      </c>
      <c r="N116" s="38">
        <f t="shared" si="21"/>
        <v>0</v>
      </c>
      <c r="O116" s="38">
        <f t="shared" si="18"/>
        <v>0</v>
      </c>
    </row>
    <row r="117" spans="1:15" ht="14.25" customHeight="1" x14ac:dyDescent="0.2">
      <c r="A117" s="225" t="s">
        <v>616</v>
      </c>
      <c r="B117" s="216" t="s">
        <v>81</v>
      </c>
      <c r="C117" s="216" t="s">
        <v>174</v>
      </c>
      <c r="D117" s="226">
        <v>42</v>
      </c>
      <c r="E117" s="226"/>
      <c r="F117" s="226"/>
      <c r="G117" s="226"/>
      <c r="H117" s="36">
        <f>adatok!$B$12*G117</f>
        <v>0</v>
      </c>
      <c r="I117" s="38">
        <f t="shared" si="17"/>
        <v>50</v>
      </c>
      <c r="J117" s="37">
        <f>MIN(VLOOKUP(B117,órabérek,2,FALSE),adatok!$B$5)</f>
        <v>45</v>
      </c>
      <c r="K117" s="37">
        <f>adatok!$B$5</f>
        <v>45</v>
      </c>
      <c r="L117" s="37">
        <f t="shared" si="19"/>
        <v>4200</v>
      </c>
      <c r="M117" s="38">
        <f t="shared" si="20"/>
        <v>2730</v>
      </c>
      <c r="N117" s="38">
        <f t="shared" si="21"/>
        <v>1470</v>
      </c>
      <c r="O117" s="38">
        <f t="shared" si="18"/>
        <v>957</v>
      </c>
    </row>
    <row r="118" spans="1:15" ht="14.25" customHeight="1" x14ac:dyDescent="0.2">
      <c r="A118" s="225" t="s">
        <v>441</v>
      </c>
      <c r="B118" s="216" t="s">
        <v>186</v>
      </c>
      <c r="C118" s="216" t="s">
        <v>174</v>
      </c>
      <c r="D118" s="226">
        <v>14</v>
      </c>
      <c r="E118" s="226">
        <v>56</v>
      </c>
      <c r="F118" s="226"/>
      <c r="G118" s="226"/>
      <c r="H118" s="36">
        <f>adatok!$B$12*G118</f>
        <v>0</v>
      </c>
      <c r="I118" s="38">
        <f t="shared" si="17"/>
        <v>45</v>
      </c>
      <c r="J118" s="37">
        <f>MIN(VLOOKUP(B118,órabérek,2,FALSE),adatok!$B$5)</f>
        <v>45</v>
      </c>
      <c r="K118" s="37">
        <f>adatok!$B$5</f>
        <v>45</v>
      </c>
      <c r="L118" s="37">
        <f t="shared" si="19"/>
        <v>3780</v>
      </c>
      <c r="M118" s="38">
        <f t="shared" si="20"/>
        <v>2457</v>
      </c>
      <c r="N118" s="38">
        <f t="shared" si="21"/>
        <v>1323</v>
      </c>
      <c r="O118" s="38">
        <f t="shared" si="18"/>
        <v>861</v>
      </c>
    </row>
    <row r="119" spans="1:15" ht="14.25" customHeight="1" x14ac:dyDescent="0.2">
      <c r="A119" s="225" t="s">
        <v>617</v>
      </c>
      <c r="B119" s="216" t="s">
        <v>186</v>
      </c>
      <c r="C119" s="216" t="s">
        <v>174</v>
      </c>
      <c r="D119" s="226"/>
      <c r="E119" s="226">
        <v>56</v>
      </c>
      <c r="F119" s="226"/>
      <c r="G119" s="226"/>
      <c r="H119" s="36">
        <f>adatok!$B$12*G119</f>
        <v>0</v>
      </c>
      <c r="I119" s="38">
        <f t="shared" si="17"/>
        <v>45</v>
      </c>
      <c r="J119" s="37">
        <f>MIN(VLOOKUP(B119,órabérek,2,FALSE),adatok!$B$5)</f>
        <v>45</v>
      </c>
      <c r="K119" s="37">
        <f>adatok!$B$5</f>
        <v>45</v>
      </c>
      <c r="L119" s="37">
        <f t="shared" si="19"/>
        <v>2520</v>
      </c>
      <c r="M119" s="38">
        <f t="shared" si="20"/>
        <v>1638</v>
      </c>
      <c r="N119" s="38">
        <f t="shared" si="21"/>
        <v>882</v>
      </c>
      <c r="O119" s="38">
        <f t="shared" si="18"/>
        <v>574</v>
      </c>
    </row>
    <row r="120" spans="1:15" ht="14.25" customHeight="1" x14ac:dyDescent="0.2">
      <c r="A120" s="225" t="s">
        <v>442</v>
      </c>
      <c r="B120" s="216" t="s">
        <v>186</v>
      </c>
      <c r="C120" s="216" t="s">
        <v>174</v>
      </c>
      <c r="D120" s="226">
        <v>56</v>
      </c>
      <c r="E120" s="226">
        <v>84</v>
      </c>
      <c r="F120" s="226"/>
      <c r="G120" s="226">
        <v>2</v>
      </c>
      <c r="H120" s="36">
        <f>adatok!$B$12*G120</f>
        <v>30</v>
      </c>
      <c r="I120" s="38">
        <f t="shared" si="17"/>
        <v>45</v>
      </c>
      <c r="J120" s="37">
        <f>MIN(VLOOKUP(B120,órabérek,2,FALSE),adatok!$B$5)</f>
        <v>45</v>
      </c>
      <c r="K120" s="37">
        <f>adatok!$B$5</f>
        <v>45</v>
      </c>
      <c r="L120" s="37">
        <f t="shared" si="19"/>
        <v>10170</v>
      </c>
      <c r="M120" s="38">
        <f t="shared" si="20"/>
        <v>6610</v>
      </c>
      <c r="N120" s="38">
        <f t="shared" si="21"/>
        <v>3560</v>
      </c>
      <c r="O120" s="38">
        <f t="shared" si="18"/>
        <v>2318</v>
      </c>
    </row>
    <row r="121" spans="1:15" ht="14.25" customHeight="1" x14ac:dyDescent="0.2">
      <c r="A121" s="225" t="s">
        <v>618</v>
      </c>
      <c r="B121" s="216" t="s">
        <v>81</v>
      </c>
      <c r="C121" s="216" t="s">
        <v>174</v>
      </c>
      <c r="D121" s="226">
        <v>0</v>
      </c>
      <c r="E121" s="226">
        <v>0</v>
      </c>
      <c r="F121" s="226"/>
      <c r="G121" s="226"/>
      <c r="H121" s="36">
        <f>adatok!$B$12*G121</f>
        <v>0</v>
      </c>
      <c r="I121" s="38">
        <f t="shared" si="17"/>
        <v>50</v>
      </c>
      <c r="J121" s="37">
        <f>MIN(VLOOKUP(B121,órabérek,2,FALSE),adatok!$B$5)</f>
        <v>45</v>
      </c>
      <c r="K121" s="37">
        <f>adatok!$B$5</f>
        <v>45</v>
      </c>
      <c r="L121" s="37">
        <f t="shared" si="19"/>
        <v>0</v>
      </c>
      <c r="M121" s="38">
        <f t="shared" si="20"/>
        <v>0</v>
      </c>
      <c r="N121" s="38">
        <f t="shared" si="21"/>
        <v>0</v>
      </c>
      <c r="O121" s="38">
        <f t="shared" si="18"/>
        <v>0</v>
      </c>
    </row>
    <row r="122" spans="1:15" ht="14.25" customHeight="1" x14ac:dyDescent="0.2">
      <c r="A122" s="225" t="s">
        <v>437</v>
      </c>
      <c r="B122" s="216" t="s">
        <v>188</v>
      </c>
      <c r="C122" s="216" t="s">
        <v>174</v>
      </c>
      <c r="D122" s="226"/>
      <c r="E122" s="226">
        <v>42</v>
      </c>
      <c r="F122" s="226"/>
      <c r="G122" s="226">
        <v>2</v>
      </c>
      <c r="H122" s="36">
        <f>adatok!$B$12*G122</f>
        <v>30</v>
      </c>
      <c r="I122" s="38">
        <f t="shared" si="17"/>
        <v>50</v>
      </c>
      <c r="J122" s="37">
        <f>MIN(VLOOKUP(B122,órabérek,2,FALSE),adatok!$B$5)</f>
        <v>45</v>
      </c>
      <c r="K122" s="37">
        <f>adatok!$B$5</f>
        <v>45</v>
      </c>
      <c r="L122" s="37">
        <f t="shared" si="19"/>
        <v>3240</v>
      </c>
      <c r="M122" s="38">
        <f t="shared" si="20"/>
        <v>2106</v>
      </c>
      <c r="N122" s="38">
        <f t="shared" si="21"/>
        <v>1134</v>
      </c>
      <c r="O122" s="38">
        <f t="shared" si="18"/>
        <v>738</v>
      </c>
    </row>
    <row r="123" spans="1:15" ht="14.25" customHeight="1" x14ac:dyDescent="0.2">
      <c r="A123" s="225" t="s">
        <v>438</v>
      </c>
      <c r="B123" s="216" t="s">
        <v>188</v>
      </c>
      <c r="C123" s="216" t="s">
        <v>174</v>
      </c>
      <c r="D123" s="226">
        <v>56</v>
      </c>
      <c r="E123" s="226">
        <v>42</v>
      </c>
      <c r="F123" s="226"/>
      <c r="G123" s="226">
        <v>2</v>
      </c>
      <c r="H123" s="36">
        <f>adatok!$B$12*G123</f>
        <v>30</v>
      </c>
      <c r="I123" s="38">
        <f t="shared" si="17"/>
        <v>50</v>
      </c>
      <c r="J123" s="37">
        <f>MIN(VLOOKUP(B123,órabérek,2,FALSE),adatok!$B$5)</f>
        <v>45</v>
      </c>
      <c r="K123" s="37">
        <f>adatok!$B$5</f>
        <v>45</v>
      </c>
      <c r="L123" s="37">
        <f t="shared" si="19"/>
        <v>8840</v>
      </c>
      <c r="M123" s="38">
        <f t="shared" si="20"/>
        <v>5746</v>
      </c>
      <c r="N123" s="38">
        <f t="shared" si="21"/>
        <v>3094</v>
      </c>
      <c r="O123" s="38">
        <f t="shared" si="18"/>
        <v>2015</v>
      </c>
    </row>
    <row r="124" spans="1:15" ht="14.25" customHeight="1" x14ac:dyDescent="0.2">
      <c r="A124" s="225" t="s">
        <v>619</v>
      </c>
      <c r="B124" s="216" t="s">
        <v>188</v>
      </c>
      <c r="C124" s="216" t="s">
        <v>174</v>
      </c>
      <c r="D124" s="226">
        <v>42</v>
      </c>
      <c r="E124" s="226">
        <v>28</v>
      </c>
      <c r="F124" s="226"/>
      <c r="G124" s="226"/>
      <c r="H124" s="36">
        <f>adatok!$B$12*G124</f>
        <v>0</v>
      </c>
      <c r="I124" s="38">
        <f t="shared" si="17"/>
        <v>50</v>
      </c>
      <c r="J124" s="37">
        <f>MIN(VLOOKUP(B124,órabérek,2,FALSE),adatok!$B$5)</f>
        <v>45</v>
      </c>
      <c r="K124" s="37">
        <f>adatok!$B$5</f>
        <v>45</v>
      </c>
      <c r="L124" s="37">
        <f t="shared" si="19"/>
        <v>5460</v>
      </c>
      <c r="M124" s="38">
        <f t="shared" si="20"/>
        <v>3549</v>
      </c>
      <c r="N124" s="38">
        <f t="shared" si="21"/>
        <v>1911</v>
      </c>
      <c r="O124" s="38">
        <f t="shared" si="18"/>
        <v>1244</v>
      </c>
    </row>
    <row r="125" spans="1:15" ht="14.25" customHeight="1" x14ac:dyDescent="0.2">
      <c r="A125" s="225" t="s">
        <v>444</v>
      </c>
      <c r="B125" s="216" t="s">
        <v>186</v>
      </c>
      <c r="C125" s="216" t="s">
        <v>174</v>
      </c>
      <c r="D125" s="226"/>
      <c r="E125" s="226">
        <v>28</v>
      </c>
      <c r="F125" s="226"/>
      <c r="G125" s="226">
        <v>2</v>
      </c>
      <c r="H125" s="36">
        <f>adatok!$B$12*G125</f>
        <v>30</v>
      </c>
      <c r="I125" s="38">
        <f t="shared" si="17"/>
        <v>45</v>
      </c>
      <c r="J125" s="37">
        <f>MIN(VLOOKUP(B125,órabérek,2,FALSE),adatok!$B$5)</f>
        <v>45</v>
      </c>
      <c r="K125" s="37">
        <f>adatok!$B$5</f>
        <v>45</v>
      </c>
      <c r="L125" s="37">
        <f t="shared" si="19"/>
        <v>2610</v>
      </c>
      <c r="M125" s="38">
        <f t="shared" si="20"/>
        <v>1696</v>
      </c>
      <c r="N125" s="38">
        <f t="shared" si="21"/>
        <v>914</v>
      </c>
      <c r="O125" s="38">
        <f t="shared" si="18"/>
        <v>595</v>
      </c>
    </row>
    <row r="126" spans="1:15" ht="14.25" customHeight="1" x14ac:dyDescent="0.2">
      <c r="A126" s="225" t="s">
        <v>445</v>
      </c>
      <c r="B126" s="216" t="s">
        <v>186</v>
      </c>
      <c r="C126" s="216" t="s">
        <v>174</v>
      </c>
      <c r="D126" s="226">
        <v>0</v>
      </c>
      <c r="E126" s="226">
        <v>0</v>
      </c>
      <c r="F126" s="226"/>
      <c r="G126" s="226"/>
      <c r="H126" s="36">
        <f>adatok!$B$12*G126</f>
        <v>0</v>
      </c>
      <c r="I126" s="38">
        <f t="shared" si="17"/>
        <v>45</v>
      </c>
      <c r="J126" s="37">
        <f>MIN(VLOOKUP(B126,órabérek,2,FALSE),adatok!$B$5)</f>
        <v>45</v>
      </c>
      <c r="K126" s="37">
        <f>adatok!$B$5</f>
        <v>45</v>
      </c>
      <c r="L126" s="37">
        <f t="shared" si="19"/>
        <v>0</v>
      </c>
      <c r="M126" s="38">
        <f t="shared" si="20"/>
        <v>0</v>
      </c>
      <c r="N126" s="38">
        <f t="shared" si="21"/>
        <v>0</v>
      </c>
      <c r="O126" s="38">
        <f t="shared" si="18"/>
        <v>0</v>
      </c>
    </row>
    <row r="127" spans="1:15" ht="14.25" customHeight="1" x14ac:dyDescent="0.2">
      <c r="A127" s="225" t="s">
        <v>620</v>
      </c>
      <c r="B127" s="216" t="s">
        <v>186</v>
      </c>
      <c r="C127" s="216" t="s">
        <v>174</v>
      </c>
      <c r="D127" s="226">
        <v>14</v>
      </c>
      <c r="E127" s="226">
        <v>84</v>
      </c>
      <c r="F127" s="226"/>
      <c r="G127" s="226">
        <v>2</v>
      </c>
      <c r="H127" s="36">
        <f>adatok!$B$12*G127</f>
        <v>30</v>
      </c>
      <c r="I127" s="38">
        <f t="shared" si="17"/>
        <v>45</v>
      </c>
      <c r="J127" s="37">
        <f>MIN(VLOOKUP(B127,órabérek,2,FALSE),adatok!$B$5)</f>
        <v>45</v>
      </c>
      <c r="K127" s="37">
        <f>adatok!$B$5</f>
        <v>45</v>
      </c>
      <c r="L127" s="37">
        <f t="shared" si="19"/>
        <v>6390</v>
      </c>
      <c r="M127" s="38">
        <f t="shared" si="20"/>
        <v>4153</v>
      </c>
      <c r="N127" s="38">
        <f t="shared" si="21"/>
        <v>2237</v>
      </c>
      <c r="O127" s="38">
        <f t="shared" si="18"/>
        <v>1456</v>
      </c>
    </row>
    <row r="128" spans="1:15" ht="14.25" customHeight="1" x14ac:dyDescent="0.2">
      <c r="A128" s="225" t="s">
        <v>621</v>
      </c>
      <c r="B128" s="216" t="s">
        <v>188</v>
      </c>
      <c r="C128" s="216" t="s">
        <v>174</v>
      </c>
      <c r="D128" s="226">
        <v>28</v>
      </c>
      <c r="E128" s="226">
        <v>70</v>
      </c>
      <c r="F128" s="226"/>
      <c r="G128" s="226"/>
      <c r="H128" s="36">
        <f>adatok!$B$12*G128</f>
        <v>0</v>
      </c>
      <c r="I128" s="38">
        <f t="shared" si="17"/>
        <v>50</v>
      </c>
      <c r="J128" s="37">
        <f>MIN(VLOOKUP(B128,órabérek,2,FALSE),adatok!$B$5)</f>
        <v>45</v>
      </c>
      <c r="K128" s="37">
        <f>adatok!$B$5</f>
        <v>45</v>
      </c>
      <c r="L128" s="37">
        <f t="shared" si="19"/>
        <v>5950</v>
      </c>
      <c r="M128" s="38">
        <f t="shared" si="20"/>
        <v>3867</v>
      </c>
      <c r="N128" s="38">
        <f t="shared" si="21"/>
        <v>2083</v>
      </c>
      <c r="O128" s="38">
        <f t="shared" si="18"/>
        <v>1356</v>
      </c>
    </row>
    <row r="129" spans="1:15" ht="14.25" customHeight="1" x14ac:dyDescent="0.2">
      <c r="A129" s="225" t="s">
        <v>622</v>
      </c>
      <c r="B129" s="216" t="s">
        <v>186</v>
      </c>
      <c r="C129" s="216" t="s">
        <v>174</v>
      </c>
      <c r="D129" s="226"/>
      <c r="E129" s="226">
        <v>28</v>
      </c>
      <c r="F129" s="226"/>
      <c r="G129" s="226"/>
      <c r="H129" s="36">
        <f>adatok!$B$12*G129</f>
        <v>0</v>
      </c>
      <c r="I129" s="38">
        <f t="shared" si="17"/>
        <v>45</v>
      </c>
      <c r="J129" s="37">
        <f>MIN(VLOOKUP(B129,órabérek,2,FALSE),adatok!$B$5)</f>
        <v>45</v>
      </c>
      <c r="K129" s="37">
        <f>adatok!$B$5</f>
        <v>45</v>
      </c>
      <c r="L129" s="37">
        <f t="shared" si="19"/>
        <v>1260</v>
      </c>
      <c r="M129" s="38">
        <f t="shared" si="20"/>
        <v>819</v>
      </c>
      <c r="N129" s="38">
        <f t="shared" si="21"/>
        <v>441</v>
      </c>
      <c r="O129" s="38">
        <f t="shared" si="18"/>
        <v>287</v>
      </c>
    </row>
    <row r="130" spans="1:15" ht="14.25" customHeight="1" x14ac:dyDescent="0.2">
      <c r="A130" s="259" t="s">
        <v>465</v>
      </c>
      <c r="B130" s="259" t="s">
        <v>188</v>
      </c>
      <c r="C130" s="259" t="s">
        <v>170</v>
      </c>
      <c r="D130" s="260"/>
      <c r="E130" s="260">
        <v>140</v>
      </c>
      <c r="F130" s="260"/>
      <c r="G130" s="260">
        <v>3</v>
      </c>
      <c r="H130" s="36">
        <f>adatok!$B$12*G130</f>
        <v>45</v>
      </c>
      <c r="I130" s="38">
        <f t="shared" si="17"/>
        <v>50</v>
      </c>
      <c r="J130" s="37">
        <f>MIN(VLOOKUP(B130,órabérek,2,FALSE),adatok!$B$5)</f>
        <v>45</v>
      </c>
      <c r="K130" s="37">
        <f>adatok!$B$5</f>
        <v>45</v>
      </c>
      <c r="L130" s="37">
        <f t="shared" si="19"/>
        <v>8325</v>
      </c>
      <c r="M130" s="38">
        <f t="shared" si="20"/>
        <v>5411</v>
      </c>
      <c r="N130" s="38">
        <f t="shared" si="21"/>
        <v>2914</v>
      </c>
      <c r="O130" s="38">
        <f t="shared" si="18"/>
        <v>1898</v>
      </c>
    </row>
    <row r="131" spans="1:15" ht="14.25" customHeight="1" x14ac:dyDescent="0.2">
      <c r="A131" s="259" t="s">
        <v>483</v>
      </c>
      <c r="B131" s="259" t="s">
        <v>186</v>
      </c>
      <c r="C131" s="259" t="s">
        <v>170</v>
      </c>
      <c r="D131" s="260">
        <v>28</v>
      </c>
      <c r="E131" s="260">
        <v>28</v>
      </c>
      <c r="F131" s="260"/>
      <c r="G131" s="260"/>
      <c r="H131" s="36">
        <f>adatok!$B$12*G131</f>
        <v>0</v>
      </c>
      <c r="I131" s="38">
        <f t="shared" si="17"/>
        <v>45</v>
      </c>
      <c r="J131" s="37">
        <f>MIN(VLOOKUP(B131,órabérek,2,FALSE),adatok!$B$5)</f>
        <v>45</v>
      </c>
      <c r="K131" s="37">
        <f>adatok!$B$5</f>
        <v>45</v>
      </c>
      <c r="L131" s="37">
        <f t="shared" si="19"/>
        <v>3780</v>
      </c>
      <c r="M131" s="38">
        <f t="shared" si="20"/>
        <v>2457</v>
      </c>
      <c r="N131" s="38">
        <f t="shared" si="21"/>
        <v>1323</v>
      </c>
      <c r="O131" s="38">
        <f t="shared" si="18"/>
        <v>861</v>
      </c>
    </row>
    <row r="132" spans="1:15" ht="14.25" customHeight="1" x14ac:dyDescent="0.2">
      <c r="A132" s="259" t="s">
        <v>468</v>
      </c>
      <c r="B132" s="259" t="s">
        <v>186</v>
      </c>
      <c r="C132" s="259" t="s">
        <v>170</v>
      </c>
      <c r="D132" s="260">
        <v>28</v>
      </c>
      <c r="E132" s="260">
        <v>56</v>
      </c>
      <c r="F132" s="260"/>
      <c r="G132" s="260"/>
      <c r="H132" s="36">
        <f>adatok!$B$12*G132</f>
        <v>0</v>
      </c>
      <c r="I132" s="38">
        <f t="shared" si="17"/>
        <v>45</v>
      </c>
      <c r="J132" s="37">
        <f>MIN(VLOOKUP(B132,órabérek,2,FALSE),adatok!$B$5)</f>
        <v>45</v>
      </c>
      <c r="K132" s="37">
        <f>adatok!$B$5</f>
        <v>45</v>
      </c>
      <c r="L132" s="37">
        <f t="shared" si="19"/>
        <v>5040</v>
      </c>
      <c r="M132" s="38">
        <f t="shared" si="20"/>
        <v>3276</v>
      </c>
      <c r="N132" s="38">
        <f t="shared" si="21"/>
        <v>1764</v>
      </c>
      <c r="O132" s="38">
        <f t="shared" si="18"/>
        <v>1149</v>
      </c>
    </row>
    <row r="133" spans="1:15" ht="14.25" customHeight="1" x14ac:dyDescent="0.2">
      <c r="A133" s="259" t="s">
        <v>629</v>
      </c>
      <c r="B133" s="259" t="s">
        <v>186</v>
      </c>
      <c r="C133" s="259" t="s">
        <v>176</v>
      </c>
      <c r="D133" s="260"/>
      <c r="E133" s="260">
        <v>84</v>
      </c>
      <c r="F133" s="260"/>
      <c r="G133" s="260"/>
      <c r="H133" s="36">
        <f>adatok!$B$12*G133</f>
        <v>0</v>
      </c>
      <c r="I133" s="38">
        <f t="shared" si="17"/>
        <v>45</v>
      </c>
      <c r="J133" s="37">
        <f>MIN(VLOOKUP(B133,órabérek,2,FALSE),adatok!$B$5)</f>
        <v>45</v>
      </c>
      <c r="K133" s="37">
        <f>adatok!$B$5</f>
        <v>45</v>
      </c>
      <c r="L133" s="37">
        <f t="shared" si="19"/>
        <v>3780</v>
      </c>
      <c r="M133" s="38">
        <f t="shared" si="20"/>
        <v>2457</v>
      </c>
      <c r="N133" s="38">
        <f t="shared" si="21"/>
        <v>1323</v>
      </c>
      <c r="O133" s="38">
        <f t="shared" si="18"/>
        <v>861</v>
      </c>
    </row>
    <row r="134" spans="1:15" ht="14.25" customHeight="1" x14ac:dyDescent="0.2">
      <c r="A134" s="259" t="s">
        <v>627</v>
      </c>
      <c r="B134" s="259" t="s">
        <v>186</v>
      </c>
      <c r="C134" s="259" t="s">
        <v>170</v>
      </c>
      <c r="D134" s="260"/>
      <c r="E134" s="260">
        <v>112</v>
      </c>
      <c r="F134" s="260"/>
      <c r="G134" s="260"/>
      <c r="H134" s="36">
        <f>adatok!$B$12*G134</f>
        <v>0</v>
      </c>
      <c r="I134" s="38">
        <f t="shared" si="17"/>
        <v>45</v>
      </c>
      <c r="J134" s="37">
        <f>MIN(VLOOKUP(B134,órabérek,2,FALSE),adatok!$B$5)</f>
        <v>45</v>
      </c>
      <c r="K134" s="37">
        <f>adatok!$B$5</f>
        <v>45</v>
      </c>
      <c r="L134" s="37">
        <f t="shared" si="19"/>
        <v>5040</v>
      </c>
      <c r="M134" s="38">
        <f t="shared" si="20"/>
        <v>3276</v>
      </c>
      <c r="N134" s="38">
        <f t="shared" si="21"/>
        <v>1764</v>
      </c>
      <c r="O134" s="38">
        <f t="shared" si="18"/>
        <v>1149</v>
      </c>
    </row>
    <row r="135" spans="1:15" ht="14.25" customHeight="1" x14ac:dyDescent="0.2">
      <c r="A135" s="259" t="s">
        <v>466</v>
      </c>
      <c r="B135" s="259" t="s">
        <v>188</v>
      </c>
      <c r="C135" s="259" t="s">
        <v>170</v>
      </c>
      <c r="D135" s="260">
        <v>14</v>
      </c>
      <c r="E135" s="260">
        <v>84</v>
      </c>
      <c r="F135" s="260"/>
      <c r="G135" s="260">
        <v>3</v>
      </c>
      <c r="H135" s="36">
        <f>adatok!$B$12*G135</f>
        <v>45</v>
      </c>
      <c r="I135" s="38">
        <f t="shared" si="17"/>
        <v>50</v>
      </c>
      <c r="J135" s="37">
        <f>MIN(VLOOKUP(B135,órabérek,2,FALSE),adatok!$B$5)</f>
        <v>45</v>
      </c>
      <c r="K135" s="37">
        <f>adatok!$B$5</f>
        <v>45</v>
      </c>
      <c r="L135" s="37">
        <f t="shared" si="19"/>
        <v>7205</v>
      </c>
      <c r="M135" s="38">
        <f t="shared" si="20"/>
        <v>4683</v>
      </c>
      <c r="N135" s="38">
        <f t="shared" si="21"/>
        <v>2522</v>
      </c>
      <c r="O135" s="38">
        <f t="shared" si="18"/>
        <v>1642</v>
      </c>
    </row>
    <row r="136" spans="1:15" ht="14.25" customHeight="1" x14ac:dyDescent="0.2">
      <c r="A136" s="259" t="s">
        <v>470</v>
      </c>
      <c r="B136" s="259" t="s">
        <v>186</v>
      </c>
      <c r="C136" s="259" t="s">
        <v>170</v>
      </c>
      <c r="D136" s="260"/>
      <c r="E136" s="260">
        <v>42</v>
      </c>
      <c r="F136" s="260"/>
      <c r="G136" s="260"/>
      <c r="H136" s="36">
        <f>adatok!$B$12*G136</f>
        <v>0</v>
      </c>
      <c r="I136" s="38">
        <f t="shared" ref="I136:I154" si="22">VLOOKUP(B136,órabérek,2,FALSE)</f>
        <v>45</v>
      </c>
      <c r="J136" s="37">
        <f>MIN(VLOOKUP(B136,órabérek,2,FALSE),adatok!$B$5)</f>
        <v>45</v>
      </c>
      <c r="K136" s="37">
        <f>adatok!$B$5</f>
        <v>45</v>
      </c>
      <c r="L136" s="37">
        <f t="shared" si="19"/>
        <v>1890</v>
      </c>
      <c r="M136" s="38">
        <f t="shared" si="20"/>
        <v>1228</v>
      </c>
      <c r="N136" s="38">
        <f t="shared" si="21"/>
        <v>662</v>
      </c>
      <c r="O136" s="38">
        <f t="shared" ref="O136:O154" si="23">INT(L136*adókulcs)</f>
        <v>430</v>
      </c>
    </row>
    <row r="137" spans="1:15" ht="14.25" customHeight="1" x14ac:dyDescent="0.2">
      <c r="A137" s="259" t="s">
        <v>467</v>
      </c>
      <c r="B137" s="259" t="s">
        <v>188</v>
      </c>
      <c r="C137" s="259" t="s">
        <v>170</v>
      </c>
      <c r="D137" s="260">
        <v>28</v>
      </c>
      <c r="E137" s="260">
        <v>112</v>
      </c>
      <c r="F137" s="260">
        <v>40</v>
      </c>
      <c r="G137" s="260">
        <v>3</v>
      </c>
      <c r="H137" s="36">
        <f>adatok!$B$12*G137</f>
        <v>45</v>
      </c>
      <c r="I137" s="38">
        <f t="shared" si="22"/>
        <v>50</v>
      </c>
      <c r="J137" s="37">
        <f>MIN(VLOOKUP(B137,órabérek,2,FALSE),adatok!$B$5)</f>
        <v>45</v>
      </c>
      <c r="K137" s="37">
        <f>adatok!$B$5</f>
        <v>45</v>
      </c>
      <c r="L137" s="37">
        <f t="shared" si="19"/>
        <v>10450</v>
      </c>
      <c r="M137" s="38">
        <f t="shared" si="20"/>
        <v>6792</v>
      </c>
      <c r="N137" s="38">
        <f t="shared" si="21"/>
        <v>3658</v>
      </c>
      <c r="O137" s="38">
        <f t="shared" si="23"/>
        <v>2382</v>
      </c>
    </row>
    <row r="138" spans="1:15" x14ac:dyDescent="0.2">
      <c r="A138" s="259" t="s">
        <v>471</v>
      </c>
      <c r="B138" s="259" t="s">
        <v>186</v>
      </c>
      <c r="C138" s="259" t="s">
        <v>170</v>
      </c>
      <c r="D138" s="260"/>
      <c r="E138" s="260">
        <v>56</v>
      </c>
      <c r="F138" s="260"/>
      <c r="G138" s="260"/>
      <c r="H138" s="36">
        <f>adatok!$B$12*G138</f>
        <v>0</v>
      </c>
      <c r="I138" s="38">
        <f t="shared" si="22"/>
        <v>45</v>
      </c>
      <c r="J138" s="37">
        <f>MIN(VLOOKUP(B138,órabérek,2,FALSE),adatok!$B$5)</f>
        <v>45</v>
      </c>
      <c r="K138" s="37">
        <f>adatok!$B$5</f>
        <v>45</v>
      </c>
      <c r="L138" s="37">
        <f t="shared" si="19"/>
        <v>2520</v>
      </c>
      <c r="M138" s="38">
        <f t="shared" si="20"/>
        <v>1638</v>
      </c>
      <c r="N138" s="38">
        <f t="shared" si="21"/>
        <v>882</v>
      </c>
      <c r="O138" s="38">
        <f t="shared" si="23"/>
        <v>574</v>
      </c>
    </row>
    <row r="139" spans="1:15" x14ac:dyDescent="0.2">
      <c r="A139" s="279" t="s">
        <v>656</v>
      </c>
      <c r="B139" s="277" t="s">
        <v>81</v>
      </c>
      <c r="C139" s="277" t="s">
        <v>176</v>
      </c>
      <c r="D139" s="278">
        <v>28</v>
      </c>
      <c r="E139" s="278"/>
      <c r="F139" s="227"/>
      <c r="G139" s="227"/>
      <c r="H139" s="36">
        <f>adatok!$B$12*G139</f>
        <v>0</v>
      </c>
      <c r="I139" s="38">
        <f t="shared" si="22"/>
        <v>50</v>
      </c>
      <c r="J139" s="37">
        <f>MIN(VLOOKUP(B139,órabérek,2,FALSE),adatok!$B$5)</f>
        <v>45</v>
      </c>
      <c r="K139" s="37">
        <f>adatok!$B$5</f>
        <v>45</v>
      </c>
      <c r="L139" s="37">
        <f t="shared" si="19"/>
        <v>2800</v>
      </c>
      <c r="M139" s="38">
        <f t="shared" si="20"/>
        <v>1820</v>
      </c>
      <c r="N139" s="38">
        <f t="shared" si="21"/>
        <v>980</v>
      </c>
      <c r="O139" s="38">
        <f t="shared" si="23"/>
        <v>638</v>
      </c>
    </row>
    <row r="140" spans="1:15" x14ac:dyDescent="0.2">
      <c r="A140" s="277" t="s">
        <v>657</v>
      </c>
      <c r="B140" s="277" t="s">
        <v>186</v>
      </c>
      <c r="C140" s="277" t="s">
        <v>176</v>
      </c>
      <c r="D140" s="278"/>
      <c r="E140" s="278">
        <v>28</v>
      </c>
      <c r="F140" s="227"/>
      <c r="G140" s="227"/>
      <c r="H140" s="36">
        <f>adatok!$B$12*G140</f>
        <v>0</v>
      </c>
      <c r="I140" s="38">
        <f t="shared" si="22"/>
        <v>45</v>
      </c>
      <c r="J140" s="37">
        <f>MIN(VLOOKUP(B140,órabérek,2,FALSE),adatok!$B$5)</f>
        <v>45</v>
      </c>
      <c r="K140" s="37">
        <f>adatok!$B$5</f>
        <v>45</v>
      </c>
      <c r="L140" s="37">
        <f t="shared" si="19"/>
        <v>1260</v>
      </c>
      <c r="M140" s="38">
        <f t="shared" si="20"/>
        <v>819</v>
      </c>
      <c r="N140" s="38">
        <f t="shared" si="21"/>
        <v>441</v>
      </c>
      <c r="O140" s="38">
        <f t="shared" si="23"/>
        <v>287</v>
      </c>
    </row>
    <row r="141" spans="1:15" x14ac:dyDescent="0.2">
      <c r="A141" s="277" t="s">
        <v>658</v>
      </c>
      <c r="B141" s="277" t="s">
        <v>188</v>
      </c>
      <c r="C141" s="277" t="s">
        <v>176</v>
      </c>
      <c r="D141" s="278">
        <v>28</v>
      </c>
      <c r="E141" s="278">
        <v>112</v>
      </c>
      <c r="F141" s="227"/>
      <c r="G141" s="227"/>
      <c r="H141" s="36">
        <f>adatok!$B$12*G141</f>
        <v>0</v>
      </c>
      <c r="I141" s="38">
        <f t="shared" si="22"/>
        <v>50</v>
      </c>
      <c r="J141" s="37">
        <f>MIN(VLOOKUP(B141,órabérek,2,FALSE),adatok!$B$5)</f>
        <v>45</v>
      </c>
      <c r="K141" s="37">
        <f>adatok!$B$5</f>
        <v>45</v>
      </c>
      <c r="L141" s="37">
        <f t="shared" si="19"/>
        <v>7840</v>
      </c>
      <c r="M141" s="38">
        <f t="shared" si="20"/>
        <v>5096</v>
      </c>
      <c r="N141" s="38">
        <f t="shared" si="21"/>
        <v>2744</v>
      </c>
      <c r="O141" s="38">
        <f t="shared" si="23"/>
        <v>1787</v>
      </c>
    </row>
    <row r="142" spans="1:15" x14ac:dyDescent="0.2">
      <c r="A142" s="277" t="s">
        <v>659</v>
      </c>
      <c r="B142" s="277" t="s">
        <v>188</v>
      </c>
      <c r="C142" s="277" t="s">
        <v>176</v>
      </c>
      <c r="D142" s="278"/>
      <c r="E142" s="278">
        <v>42</v>
      </c>
      <c r="F142" s="227"/>
      <c r="G142" s="227"/>
      <c r="H142" s="36">
        <f>adatok!$B$12*G142</f>
        <v>0</v>
      </c>
      <c r="I142" s="38">
        <f t="shared" si="22"/>
        <v>50</v>
      </c>
      <c r="J142" s="37">
        <f>MIN(VLOOKUP(B142,órabérek,2,FALSE),adatok!$B$5)</f>
        <v>45</v>
      </c>
      <c r="K142" s="37">
        <f>adatok!$B$5</f>
        <v>45</v>
      </c>
      <c r="L142" s="37">
        <f t="shared" si="19"/>
        <v>1890</v>
      </c>
      <c r="M142" s="38">
        <f t="shared" si="20"/>
        <v>1228</v>
      </c>
      <c r="N142" s="38">
        <f t="shared" si="21"/>
        <v>662</v>
      </c>
      <c r="O142" s="38">
        <f t="shared" si="23"/>
        <v>430</v>
      </c>
    </row>
    <row r="143" spans="1:15" x14ac:dyDescent="0.2">
      <c r="A143" s="277" t="s">
        <v>645</v>
      </c>
      <c r="B143" s="277" t="s">
        <v>186</v>
      </c>
      <c r="C143" s="277" t="s">
        <v>176</v>
      </c>
      <c r="D143" s="278"/>
      <c r="E143" s="278">
        <v>14</v>
      </c>
      <c r="F143" s="227"/>
      <c r="G143" s="227"/>
      <c r="H143" s="36">
        <f>adatok!$B$12*G143</f>
        <v>0</v>
      </c>
      <c r="I143" s="38">
        <f t="shared" si="22"/>
        <v>45</v>
      </c>
      <c r="J143" s="37">
        <f>MIN(VLOOKUP(B143,órabérek,2,FALSE),adatok!$B$5)</f>
        <v>45</v>
      </c>
      <c r="K143" s="37">
        <f>adatok!$B$5</f>
        <v>45</v>
      </c>
      <c r="L143" s="37">
        <f t="shared" si="19"/>
        <v>630</v>
      </c>
      <c r="M143" s="38">
        <f t="shared" si="20"/>
        <v>409</v>
      </c>
      <c r="N143" s="38">
        <f t="shared" si="21"/>
        <v>221</v>
      </c>
      <c r="O143" s="38">
        <f t="shared" si="23"/>
        <v>143</v>
      </c>
    </row>
    <row r="144" spans="1:15" x14ac:dyDescent="0.2">
      <c r="A144" s="277" t="s">
        <v>660</v>
      </c>
      <c r="B144" s="277" t="s">
        <v>186</v>
      </c>
      <c r="C144" s="277" t="s">
        <v>176</v>
      </c>
      <c r="D144" s="278"/>
      <c r="E144" s="278">
        <v>42</v>
      </c>
      <c r="F144" s="227"/>
      <c r="G144" s="227"/>
      <c r="H144" s="36">
        <f>adatok!$B$12*G144</f>
        <v>0</v>
      </c>
      <c r="I144" s="38">
        <f t="shared" si="22"/>
        <v>45</v>
      </c>
      <c r="J144" s="37">
        <f>MIN(VLOOKUP(B144,órabérek,2,FALSE),adatok!$B$5)</f>
        <v>45</v>
      </c>
      <c r="K144" s="37">
        <f>adatok!$B$5</f>
        <v>45</v>
      </c>
      <c r="L144" s="37">
        <f t="shared" si="19"/>
        <v>1890</v>
      </c>
      <c r="M144" s="38">
        <f t="shared" si="20"/>
        <v>1228</v>
      </c>
      <c r="N144" s="38">
        <f t="shared" si="21"/>
        <v>662</v>
      </c>
      <c r="O144" s="38">
        <f t="shared" si="23"/>
        <v>430</v>
      </c>
    </row>
    <row r="145" spans="1:15" x14ac:dyDescent="0.2">
      <c r="A145" s="277" t="s">
        <v>661</v>
      </c>
      <c r="B145" s="277" t="s">
        <v>186</v>
      </c>
      <c r="C145" s="277" t="s">
        <v>176</v>
      </c>
      <c r="D145" s="278">
        <v>28</v>
      </c>
      <c r="E145" s="278">
        <v>56</v>
      </c>
      <c r="F145" s="227"/>
      <c r="G145" s="227"/>
      <c r="H145" s="36">
        <f>adatok!$B$12*G145</f>
        <v>0</v>
      </c>
      <c r="I145" s="38">
        <f t="shared" si="22"/>
        <v>45</v>
      </c>
      <c r="J145" s="37">
        <f>MIN(VLOOKUP(B145,órabérek,2,FALSE),adatok!$B$5)</f>
        <v>45</v>
      </c>
      <c r="K145" s="37">
        <f>adatok!$B$5</f>
        <v>45</v>
      </c>
      <c r="L145" s="37">
        <f t="shared" si="19"/>
        <v>5040</v>
      </c>
      <c r="M145" s="38">
        <f t="shared" si="20"/>
        <v>3276</v>
      </c>
      <c r="N145" s="38">
        <f t="shared" si="21"/>
        <v>1764</v>
      </c>
      <c r="O145" s="38">
        <f t="shared" si="23"/>
        <v>1149</v>
      </c>
    </row>
    <row r="146" spans="1:15" x14ac:dyDescent="0.2">
      <c r="A146" s="277" t="s">
        <v>662</v>
      </c>
      <c r="B146" s="277" t="s">
        <v>186</v>
      </c>
      <c r="C146" s="277" t="s">
        <v>176</v>
      </c>
      <c r="D146" s="278"/>
      <c r="E146" s="278">
        <v>112</v>
      </c>
      <c r="F146" s="227"/>
      <c r="G146" s="227"/>
      <c r="H146" s="36">
        <f>adatok!$B$12*G146</f>
        <v>0</v>
      </c>
      <c r="I146" s="38">
        <f t="shared" si="22"/>
        <v>45</v>
      </c>
      <c r="J146" s="37">
        <f>MIN(VLOOKUP(B146,órabérek,2,FALSE),adatok!$B$5)</f>
        <v>45</v>
      </c>
      <c r="K146" s="37">
        <f>adatok!$B$5</f>
        <v>45</v>
      </c>
      <c r="L146" s="37">
        <f t="shared" si="19"/>
        <v>5040</v>
      </c>
      <c r="M146" s="38">
        <f t="shared" si="20"/>
        <v>3276</v>
      </c>
      <c r="N146" s="38">
        <f t="shared" si="21"/>
        <v>1764</v>
      </c>
      <c r="O146" s="38">
        <f t="shared" si="23"/>
        <v>1149</v>
      </c>
    </row>
    <row r="147" spans="1:15" x14ac:dyDescent="0.2">
      <c r="A147" s="277" t="s">
        <v>663</v>
      </c>
      <c r="B147" s="277" t="s">
        <v>186</v>
      </c>
      <c r="C147" s="277" t="s">
        <v>176</v>
      </c>
      <c r="D147" s="278"/>
      <c r="E147" s="278">
        <v>84</v>
      </c>
      <c r="F147" s="227"/>
      <c r="G147" s="227"/>
      <c r="H147" s="36">
        <f>adatok!$B$12*G147</f>
        <v>0</v>
      </c>
      <c r="I147" s="38">
        <f t="shared" si="22"/>
        <v>45</v>
      </c>
      <c r="J147" s="37">
        <f>MIN(VLOOKUP(B147,órabérek,2,FALSE),adatok!$B$5)</f>
        <v>45</v>
      </c>
      <c r="K147" s="37">
        <f>adatok!$B$5</f>
        <v>45</v>
      </c>
      <c r="L147" s="37">
        <f t="shared" si="19"/>
        <v>3780</v>
      </c>
      <c r="M147" s="38">
        <f t="shared" si="20"/>
        <v>2457</v>
      </c>
      <c r="N147" s="38">
        <f t="shared" si="21"/>
        <v>1323</v>
      </c>
      <c r="O147" s="38">
        <f t="shared" si="23"/>
        <v>861</v>
      </c>
    </row>
    <row r="148" spans="1:15" x14ac:dyDescent="0.2">
      <c r="A148" s="277" t="s">
        <v>664</v>
      </c>
      <c r="B148" s="277" t="s">
        <v>188</v>
      </c>
      <c r="C148" s="277" t="s">
        <v>176</v>
      </c>
      <c r="D148" s="278">
        <v>28</v>
      </c>
      <c r="E148" s="278"/>
      <c r="F148" s="227"/>
      <c r="G148" s="227"/>
      <c r="H148" s="36">
        <f>adatok!$B$12*G148</f>
        <v>0</v>
      </c>
      <c r="I148" s="38">
        <f t="shared" si="22"/>
        <v>50</v>
      </c>
      <c r="J148" s="37">
        <f>MIN(VLOOKUP(B148,órabérek,2,FALSE),adatok!$B$5)</f>
        <v>45</v>
      </c>
      <c r="K148" s="37">
        <f>adatok!$B$5</f>
        <v>45</v>
      </c>
      <c r="L148" s="37">
        <f t="shared" si="19"/>
        <v>2800</v>
      </c>
      <c r="M148" s="38">
        <f t="shared" si="20"/>
        <v>1820</v>
      </c>
      <c r="N148" s="38">
        <f t="shared" si="21"/>
        <v>980</v>
      </c>
      <c r="O148" s="38">
        <f t="shared" si="23"/>
        <v>638</v>
      </c>
    </row>
    <row r="149" spans="1:15" x14ac:dyDescent="0.2">
      <c r="A149" s="277" t="s">
        <v>665</v>
      </c>
      <c r="B149" s="277" t="s">
        <v>183</v>
      </c>
      <c r="C149" s="277" t="s">
        <v>176</v>
      </c>
      <c r="D149" s="278"/>
      <c r="E149" s="278">
        <v>140</v>
      </c>
      <c r="F149" s="227"/>
      <c r="G149" s="227"/>
      <c r="H149" s="36">
        <f>adatok!$B$12*G149</f>
        <v>0</v>
      </c>
      <c r="I149" s="38">
        <f t="shared" si="22"/>
        <v>35</v>
      </c>
      <c r="J149" s="37">
        <f>MIN(VLOOKUP(B149,órabérek,2,FALSE),adatok!$B$5)</f>
        <v>35</v>
      </c>
      <c r="K149" s="37">
        <f>adatok!$B$5</f>
        <v>45</v>
      </c>
      <c r="L149" s="37">
        <f t="shared" si="19"/>
        <v>4900</v>
      </c>
      <c r="M149" s="38">
        <f t="shared" si="20"/>
        <v>3185</v>
      </c>
      <c r="N149" s="38">
        <f t="shared" si="21"/>
        <v>1715</v>
      </c>
      <c r="O149" s="38">
        <f t="shared" si="23"/>
        <v>1117</v>
      </c>
    </row>
    <row r="150" spans="1:15" x14ac:dyDescent="0.2">
      <c r="A150" s="277" t="s">
        <v>651</v>
      </c>
      <c r="B150" s="277" t="s">
        <v>183</v>
      </c>
      <c r="C150" s="277" t="s">
        <v>176</v>
      </c>
      <c r="D150" s="278"/>
      <c r="E150" s="278">
        <v>224</v>
      </c>
      <c r="F150" s="227"/>
      <c r="G150" s="227"/>
      <c r="H150" s="36">
        <f>adatok!$B$12*G150</f>
        <v>0</v>
      </c>
      <c r="I150" s="38">
        <f t="shared" si="22"/>
        <v>35</v>
      </c>
      <c r="J150" s="37">
        <f>MIN(VLOOKUP(B150,órabérek,2,FALSE),adatok!$B$5)</f>
        <v>35</v>
      </c>
      <c r="K150" s="37">
        <f>adatok!$B$5</f>
        <v>45</v>
      </c>
      <c r="L150" s="37">
        <f t="shared" si="19"/>
        <v>7840</v>
      </c>
      <c r="M150" s="38">
        <f t="shared" si="20"/>
        <v>5096</v>
      </c>
      <c r="N150" s="38">
        <f t="shared" si="21"/>
        <v>2744</v>
      </c>
      <c r="O150" s="38">
        <f t="shared" si="23"/>
        <v>1787</v>
      </c>
    </row>
    <row r="151" spans="1:15" x14ac:dyDescent="0.2">
      <c r="A151" s="277" t="s">
        <v>666</v>
      </c>
      <c r="B151" s="277" t="s">
        <v>186</v>
      </c>
      <c r="C151" s="277" t="s">
        <v>176</v>
      </c>
      <c r="D151" s="278"/>
      <c r="E151" s="278">
        <v>84</v>
      </c>
      <c r="F151" s="227"/>
      <c r="G151" s="227"/>
      <c r="H151" s="36">
        <f>adatok!$B$12*G151</f>
        <v>0</v>
      </c>
      <c r="I151" s="38">
        <f t="shared" si="22"/>
        <v>45</v>
      </c>
      <c r="J151" s="37">
        <f>MIN(VLOOKUP(B151,órabérek,2,FALSE),adatok!$B$5)</f>
        <v>45</v>
      </c>
      <c r="K151" s="37">
        <f>adatok!$B$5</f>
        <v>45</v>
      </c>
      <c r="L151" s="37">
        <f t="shared" si="19"/>
        <v>3780</v>
      </c>
      <c r="M151" s="38">
        <f t="shared" si="20"/>
        <v>2457</v>
      </c>
      <c r="N151" s="38">
        <f t="shared" si="21"/>
        <v>1323</v>
      </c>
      <c r="O151" s="38">
        <f t="shared" si="23"/>
        <v>861</v>
      </c>
    </row>
    <row r="152" spans="1:15" x14ac:dyDescent="0.2">
      <c r="A152" s="277" t="s">
        <v>667</v>
      </c>
      <c r="B152" s="277" t="s">
        <v>186</v>
      </c>
      <c r="C152" s="277" t="s">
        <v>176</v>
      </c>
      <c r="D152" s="278">
        <v>28</v>
      </c>
      <c r="E152" s="278">
        <v>84</v>
      </c>
      <c r="F152" s="227"/>
      <c r="G152" s="227"/>
      <c r="H152" s="36">
        <f>adatok!$B$12*G152</f>
        <v>0</v>
      </c>
      <c r="I152" s="38">
        <f t="shared" si="22"/>
        <v>45</v>
      </c>
      <c r="J152" s="37">
        <f>MIN(VLOOKUP(B152,órabérek,2,FALSE),adatok!$B$5)</f>
        <v>45</v>
      </c>
      <c r="K152" s="37">
        <f>adatok!$B$5</f>
        <v>45</v>
      </c>
      <c r="L152" s="37">
        <f t="shared" si="19"/>
        <v>6300</v>
      </c>
      <c r="M152" s="38">
        <f t="shared" si="20"/>
        <v>4095</v>
      </c>
      <c r="N152" s="38">
        <f t="shared" si="21"/>
        <v>2205</v>
      </c>
      <c r="O152" s="38">
        <f t="shared" si="23"/>
        <v>1436</v>
      </c>
    </row>
    <row r="153" spans="1:15" x14ac:dyDescent="0.2">
      <c r="A153" s="277" t="s">
        <v>668</v>
      </c>
      <c r="B153" s="277" t="s">
        <v>186</v>
      </c>
      <c r="C153" s="277" t="s">
        <v>176</v>
      </c>
      <c r="D153" s="278"/>
      <c r="E153" s="278">
        <v>28</v>
      </c>
      <c r="F153" s="227"/>
      <c r="G153" s="227"/>
      <c r="H153" s="36">
        <f>adatok!$B$12*G153</f>
        <v>0</v>
      </c>
      <c r="I153" s="38">
        <f t="shared" si="22"/>
        <v>45</v>
      </c>
      <c r="J153" s="37">
        <f>MIN(VLOOKUP(B153,órabérek,2,FALSE),adatok!$B$5)</f>
        <v>45</v>
      </c>
      <c r="K153" s="37">
        <f>adatok!$B$5</f>
        <v>45</v>
      </c>
      <c r="L153" s="37">
        <f t="shared" si="19"/>
        <v>1260</v>
      </c>
      <c r="M153" s="38">
        <f t="shared" si="20"/>
        <v>819</v>
      </c>
      <c r="N153" s="38">
        <f t="shared" si="21"/>
        <v>441</v>
      </c>
      <c r="O153" s="38">
        <f t="shared" si="23"/>
        <v>287</v>
      </c>
    </row>
    <row r="154" spans="1:15" x14ac:dyDescent="0.2">
      <c r="A154" s="277" t="s">
        <v>669</v>
      </c>
      <c r="B154" s="277" t="s">
        <v>81</v>
      </c>
      <c r="C154" s="277" t="s">
        <v>176</v>
      </c>
      <c r="D154" s="278">
        <v>28</v>
      </c>
      <c r="E154" s="278">
        <v>42</v>
      </c>
      <c r="F154" s="227"/>
      <c r="G154" s="227"/>
      <c r="H154" s="36">
        <f>adatok!$B$12*G154</f>
        <v>0</v>
      </c>
      <c r="I154" s="38">
        <f t="shared" si="22"/>
        <v>50</v>
      </c>
      <c r="J154" s="37">
        <f>MIN(VLOOKUP(B154,órabérek,2,FALSE),adatok!$B$5)</f>
        <v>45</v>
      </c>
      <c r="K154" s="37">
        <f>adatok!$B$5</f>
        <v>45</v>
      </c>
      <c r="L154" s="37">
        <f t="shared" si="19"/>
        <v>4690</v>
      </c>
      <c r="M154" s="38">
        <f t="shared" si="20"/>
        <v>3048</v>
      </c>
      <c r="N154" s="38">
        <f t="shared" si="21"/>
        <v>1642</v>
      </c>
      <c r="O154" s="38">
        <f t="shared" si="23"/>
        <v>1069</v>
      </c>
    </row>
    <row r="155" spans="1:15" x14ac:dyDescent="0.2">
      <c r="A155" s="277" t="s">
        <v>670</v>
      </c>
      <c r="B155" s="277" t="s">
        <v>186</v>
      </c>
      <c r="C155" s="277" t="s">
        <v>176</v>
      </c>
      <c r="D155" s="278"/>
      <c r="E155" s="278">
        <v>112</v>
      </c>
      <c r="F155" s="227"/>
      <c r="G155" s="227"/>
      <c r="H155" s="36">
        <f>adatok!$B$12*G155</f>
        <v>0</v>
      </c>
      <c r="I155" s="38">
        <f t="shared" ref="I155:I185" si="24">VLOOKUP(B155,órabérek,2,FALSE)</f>
        <v>45</v>
      </c>
      <c r="J155" s="37">
        <f>MIN(VLOOKUP(B155,órabérek,2,FALSE),adatok!$B$5)</f>
        <v>45</v>
      </c>
      <c r="K155" s="37">
        <f>adatok!$B$5</f>
        <v>45</v>
      </c>
      <c r="L155" s="37">
        <f t="shared" ref="L155:L185" si="25">D155*2*I155+E155*J155+INT(F155/3)*J155+H155*K155</f>
        <v>5040</v>
      </c>
      <c r="M155" s="38">
        <f t="shared" ref="M155:M185" si="26">INT(L155*65%)</f>
        <v>3276</v>
      </c>
      <c r="N155" s="38">
        <f t="shared" ref="N155:N185" si="27">L155-M155</f>
        <v>1764</v>
      </c>
      <c r="O155" s="38">
        <f t="shared" ref="O155:O185" si="28">INT(L155*adókulcs)</f>
        <v>1149</v>
      </c>
    </row>
    <row r="156" spans="1:15" x14ac:dyDescent="0.2">
      <c r="A156" s="277" t="s">
        <v>671</v>
      </c>
      <c r="B156" s="277" t="s">
        <v>81</v>
      </c>
      <c r="C156" s="277" t="s">
        <v>176</v>
      </c>
      <c r="D156" s="278">
        <v>28</v>
      </c>
      <c r="E156" s="278"/>
      <c r="F156" s="227"/>
      <c r="G156" s="227"/>
      <c r="H156" s="36">
        <f>adatok!$B$12*G156</f>
        <v>0</v>
      </c>
      <c r="I156" s="38">
        <f t="shared" si="24"/>
        <v>50</v>
      </c>
      <c r="J156" s="37">
        <f>MIN(VLOOKUP(B156,órabérek,2,FALSE),adatok!$B$5)</f>
        <v>45</v>
      </c>
      <c r="K156" s="37">
        <f>adatok!$B$5</f>
        <v>45</v>
      </c>
      <c r="L156" s="37">
        <f t="shared" si="25"/>
        <v>2800</v>
      </c>
      <c r="M156" s="38">
        <f t="shared" si="26"/>
        <v>1820</v>
      </c>
      <c r="N156" s="38">
        <f t="shared" si="27"/>
        <v>980</v>
      </c>
      <c r="O156" s="38">
        <f t="shared" si="28"/>
        <v>638</v>
      </c>
    </row>
    <row r="157" spans="1:15" x14ac:dyDescent="0.2">
      <c r="A157" s="280" t="s">
        <v>672</v>
      </c>
      <c r="B157" s="277" t="s">
        <v>186</v>
      </c>
      <c r="C157" s="277" t="s">
        <v>176</v>
      </c>
      <c r="D157" s="281">
        <v>28</v>
      </c>
      <c r="E157" s="281">
        <v>56</v>
      </c>
      <c r="F157" s="227"/>
      <c r="G157" s="227"/>
      <c r="H157" s="36">
        <f>adatok!$B$12*G157</f>
        <v>0</v>
      </c>
      <c r="I157" s="38">
        <f t="shared" si="24"/>
        <v>45</v>
      </c>
      <c r="J157" s="37">
        <f>MIN(VLOOKUP(B157,órabérek,2,FALSE),adatok!$B$5)</f>
        <v>45</v>
      </c>
      <c r="K157" s="37">
        <f>adatok!$B$5</f>
        <v>45</v>
      </c>
      <c r="L157" s="37">
        <f t="shared" si="25"/>
        <v>5040</v>
      </c>
      <c r="M157" s="38">
        <f t="shared" si="26"/>
        <v>3276</v>
      </c>
      <c r="N157" s="38">
        <f t="shared" si="27"/>
        <v>1764</v>
      </c>
      <c r="O157" s="38">
        <f t="shared" si="28"/>
        <v>1149</v>
      </c>
    </row>
    <row r="158" spans="1:15" x14ac:dyDescent="0.2">
      <c r="A158" s="280" t="s">
        <v>673</v>
      </c>
      <c r="B158" s="277" t="s">
        <v>81</v>
      </c>
      <c r="C158" s="277" t="s">
        <v>176</v>
      </c>
      <c r="D158" s="281">
        <v>56</v>
      </c>
      <c r="E158" s="281">
        <v>28</v>
      </c>
      <c r="F158" s="227"/>
      <c r="G158" s="227"/>
      <c r="H158" s="36">
        <f>adatok!$B$12*G158</f>
        <v>0</v>
      </c>
      <c r="I158" s="38">
        <f t="shared" si="24"/>
        <v>50</v>
      </c>
      <c r="J158" s="37">
        <f>MIN(VLOOKUP(B158,órabérek,2,FALSE),adatok!$B$5)</f>
        <v>45</v>
      </c>
      <c r="K158" s="37">
        <f>adatok!$B$5</f>
        <v>45</v>
      </c>
      <c r="L158" s="37">
        <f t="shared" si="25"/>
        <v>6860</v>
      </c>
      <c r="M158" s="38">
        <f t="shared" si="26"/>
        <v>4459</v>
      </c>
      <c r="N158" s="38">
        <f t="shared" si="27"/>
        <v>2401</v>
      </c>
      <c r="O158" s="38">
        <f t="shared" si="28"/>
        <v>1564</v>
      </c>
    </row>
    <row r="159" spans="1:15" x14ac:dyDescent="0.2">
      <c r="A159" s="265" t="s">
        <v>677</v>
      </c>
      <c r="B159" s="265" t="s">
        <v>188</v>
      </c>
      <c r="C159" s="265" t="s">
        <v>171</v>
      </c>
      <c r="D159" s="266">
        <v>84</v>
      </c>
      <c r="E159" s="266">
        <v>0</v>
      </c>
      <c r="F159" s="266">
        <v>16</v>
      </c>
      <c r="G159" s="266">
        <v>0</v>
      </c>
      <c r="H159" s="36">
        <f>adatok!$B$12*G159</f>
        <v>0</v>
      </c>
      <c r="I159" s="38">
        <f t="shared" ref="I159:I168" si="29">VLOOKUP(B159,órabérek,2,FALSE)</f>
        <v>50</v>
      </c>
      <c r="J159" s="37">
        <f>MIN(VLOOKUP(B159,órabérek,2,FALSE),adatok!$B$5)</f>
        <v>45</v>
      </c>
      <c r="K159" s="37">
        <f>adatok!$B$5</f>
        <v>45</v>
      </c>
      <c r="L159" s="37">
        <f t="shared" ref="L159:L168" si="30">D159*2*I159+E159*J159+INT(F159/3)*J159+H159*K159</f>
        <v>8625</v>
      </c>
      <c r="M159" s="38">
        <f t="shared" ref="M159:M168" si="31">INT(L159*65%)</f>
        <v>5606</v>
      </c>
      <c r="N159" s="38">
        <f t="shared" ref="N159:N168" si="32">L159-M159</f>
        <v>3019</v>
      </c>
      <c r="O159" s="38">
        <f t="shared" ref="O159:O168" si="33">INT(L159*adókulcs)</f>
        <v>1966</v>
      </c>
    </row>
    <row r="160" spans="1:15" x14ac:dyDescent="0.2">
      <c r="A160" s="265" t="s">
        <v>679</v>
      </c>
      <c r="B160" s="265" t="s">
        <v>186</v>
      </c>
      <c r="C160" s="265" t="s">
        <v>171</v>
      </c>
      <c r="D160" s="266">
        <v>28</v>
      </c>
      <c r="E160" s="266">
        <v>14</v>
      </c>
      <c r="F160" s="266">
        <v>23</v>
      </c>
      <c r="G160" s="266">
        <v>0</v>
      </c>
      <c r="H160" s="36">
        <f>adatok!$B$12*G160</f>
        <v>0</v>
      </c>
      <c r="I160" s="38">
        <f t="shared" si="29"/>
        <v>45</v>
      </c>
      <c r="J160" s="37">
        <f>MIN(VLOOKUP(B160,órabérek,2,FALSE),adatok!$B$5)</f>
        <v>45</v>
      </c>
      <c r="K160" s="37">
        <f>adatok!$B$5</f>
        <v>45</v>
      </c>
      <c r="L160" s="37">
        <f t="shared" si="30"/>
        <v>3465</v>
      </c>
      <c r="M160" s="38">
        <f t="shared" si="31"/>
        <v>2252</v>
      </c>
      <c r="N160" s="38">
        <f t="shared" si="32"/>
        <v>1213</v>
      </c>
      <c r="O160" s="38">
        <f t="shared" si="33"/>
        <v>790</v>
      </c>
    </row>
    <row r="161" spans="1:15" x14ac:dyDescent="0.2">
      <c r="A161" s="265" t="s">
        <v>692</v>
      </c>
      <c r="B161" s="265" t="s">
        <v>81</v>
      </c>
      <c r="C161" s="265" t="s">
        <v>335</v>
      </c>
      <c r="D161" s="266">
        <v>28</v>
      </c>
      <c r="E161" s="266">
        <v>28</v>
      </c>
      <c r="F161" s="266">
        <v>14</v>
      </c>
      <c r="G161" s="266">
        <v>0</v>
      </c>
      <c r="H161" s="36">
        <f>adatok!$B$12*G161</f>
        <v>0</v>
      </c>
      <c r="I161" s="38">
        <f t="shared" si="29"/>
        <v>50</v>
      </c>
      <c r="J161" s="37">
        <f>MIN(VLOOKUP(B161,órabérek,2,FALSE),adatok!$B$5)</f>
        <v>45</v>
      </c>
      <c r="K161" s="37">
        <f>adatok!$B$5</f>
        <v>45</v>
      </c>
      <c r="L161" s="37">
        <f t="shared" si="30"/>
        <v>4240</v>
      </c>
      <c r="M161" s="38">
        <f t="shared" si="31"/>
        <v>2756</v>
      </c>
      <c r="N161" s="38">
        <f t="shared" si="32"/>
        <v>1484</v>
      </c>
      <c r="O161" s="38">
        <f t="shared" si="33"/>
        <v>966</v>
      </c>
    </row>
    <row r="162" spans="1:15" x14ac:dyDescent="0.2">
      <c r="A162" s="265" t="s">
        <v>693</v>
      </c>
      <c r="B162" s="265" t="s">
        <v>188</v>
      </c>
      <c r="C162" s="265" t="s">
        <v>171</v>
      </c>
      <c r="D162" s="266">
        <v>14</v>
      </c>
      <c r="E162" s="266">
        <v>28</v>
      </c>
      <c r="F162" s="266">
        <v>16</v>
      </c>
      <c r="G162" s="266">
        <v>0</v>
      </c>
      <c r="H162" s="36">
        <f>adatok!$B$12*G162</f>
        <v>0</v>
      </c>
      <c r="I162" s="38">
        <f t="shared" si="29"/>
        <v>50</v>
      </c>
      <c r="J162" s="37">
        <f>MIN(VLOOKUP(B162,órabérek,2,FALSE),adatok!$B$5)</f>
        <v>45</v>
      </c>
      <c r="K162" s="37">
        <f>adatok!$B$5</f>
        <v>45</v>
      </c>
      <c r="L162" s="37">
        <f t="shared" si="30"/>
        <v>2885</v>
      </c>
      <c r="M162" s="38">
        <f t="shared" si="31"/>
        <v>1875</v>
      </c>
      <c r="N162" s="38">
        <f t="shared" si="32"/>
        <v>1010</v>
      </c>
      <c r="O162" s="38">
        <f t="shared" si="33"/>
        <v>657</v>
      </c>
    </row>
    <row r="163" spans="1:15" x14ac:dyDescent="0.2">
      <c r="A163" s="265" t="s">
        <v>694</v>
      </c>
      <c r="B163" s="265" t="s">
        <v>186</v>
      </c>
      <c r="C163" s="265" t="s">
        <v>171</v>
      </c>
      <c r="D163" s="266">
        <v>56</v>
      </c>
      <c r="E163" s="266">
        <v>56</v>
      </c>
      <c r="F163" s="266">
        <v>14</v>
      </c>
      <c r="G163" s="266">
        <v>0</v>
      </c>
      <c r="H163" s="36">
        <f>adatok!$B$12*G163</f>
        <v>0</v>
      </c>
      <c r="I163" s="38">
        <f t="shared" si="29"/>
        <v>45</v>
      </c>
      <c r="J163" s="37">
        <f>MIN(VLOOKUP(B163,órabérek,2,FALSE),adatok!$B$5)</f>
        <v>45</v>
      </c>
      <c r="K163" s="37">
        <f>adatok!$B$5</f>
        <v>45</v>
      </c>
      <c r="L163" s="37">
        <f t="shared" si="30"/>
        <v>7740</v>
      </c>
      <c r="M163" s="38">
        <f t="shared" si="31"/>
        <v>5031</v>
      </c>
      <c r="N163" s="38">
        <f t="shared" si="32"/>
        <v>2709</v>
      </c>
      <c r="O163" s="38">
        <f t="shared" si="33"/>
        <v>1764</v>
      </c>
    </row>
    <row r="164" spans="1:15" x14ac:dyDescent="0.2">
      <c r="A164" s="265" t="s">
        <v>695</v>
      </c>
      <c r="B164" s="265" t="s">
        <v>188</v>
      </c>
      <c r="C164" s="265" t="s">
        <v>334</v>
      </c>
      <c r="D164" s="266">
        <v>28</v>
      </c>
      <c r="E164" s="266">
        <v>0</v>
      </c>
      <c r="F164" s="266">
        <v>16</v>
      </c>
      <c r="G164" s="266">
        <v>0</v>
      </c>
      <c r="H164" s="36">
        <f>adatok!$B$12*G164</f>
        <v>0</v>
      </c>
      <c r="I164" s="38">
        <f t="shared" si="29"/>
        <v>50</v>
      </c>
      <c r="J164" s="37">
        <f>MIN(VLOOKUP(B164,órabérek,2,FALSE),adatok!$B$5)</f>
        <v>45</v>
      </c>
      <c r="K164" s="37">
        <f>adatok!$B$5</f>
        <v>45</v>
      </c>
      <c r="L164" s="37">
        <f t="shared" si="30"/>
        <v>3025</v>
      </c>
      <c r="M164" s="38">
        <f t="shared" si="31"/>
        <v>1966</v>
      </c>
      <c r="N164" s="38">
        <f t="shared" si="32"/>
        <v>1059</v>
      </c>
      <c r="O164" s="38">
        <f t="shared" si="33"/>
        <v>689</v>
      </c>
    </row>
    <row r="165" spans="1:15" x14ac:dyDescent="0.2">
      <c r="A165" s="265" t="s">
        <v>696</v>
      </c>
      <c r="B165" s="265" t="s">
        <v>186</v>
      </c>
      <c r="C165" s="265" t="s">
        <v>171</v>
      </c>
      <c r="D165" s="266">
        <v>0</v>
      </c>
      <c r="E165" s="266">
        <v>56</v>
      </c>
      <c r="F165" s="266">
        <v>0</v>
      </c>
      <c r="G165" s="266">
        <v>0</v>
      </c>
      <c r="H165" s="36">
        <f>adatok!$B$12*G165</f>
        <v>0</v>
      </c>
      <c r="I165" s="38">
        <f t="shared" si="29"/>
        <v>45</v>
      </c>
      <c r="J165" s="37">
        <f>MIN(VLOOKUP(B165,órabérek,2,FALSE),adatok!$B$5)</f>
        <v>45</v>
      </c>
      <c r="K165" s="37">
        <f>adatok!$B$5</f>
        <v>45</v>
      </c>
      <c r="L165" s="37">
        <f t="shared" si="30"/>
        <v>2520</v>
      </c>
      <c r="M165" s="38">
        <f t="shared" si="31"/>
        <v>1638</v>
      </c>
      <c r="N165" s="38">
        <f t="shared" si="32"/>
        <v>882</v>
      </c>
      <c r="O165" s="38">
        <f t="shared" si="33"/>
        <v>574</v>
      </c>
    </row>
    <row r="166" spans="1:15" x14ac:dyDescent="0.2">
      <c r="A166" s="265" t="s">
        <v>697</v>
      </c>
      <c r="B166" s="265" t="s">
        <v>186</v>
      </c>
      <c r="C166" s="265" t="s">
        <v>171</v>
      </c>
      <c r="D166" s="266">
        <v>28</v>
      </c>
      <c r="E166" s="266">
        <v>42</v>
      </c>
      <c r="F166" s="266">
        <v>28</v>
      </c>
      <c r="G166" s="266">
        <v>0</v>
      </c>
      <c r="H166" s="36">
        <f>adatok!$B$12*G166</f>
        <v>0</v>
      </c>
      <c r="I166" s="38">
        <f t="shared" si="29"/>
        <v>45</v>
      </c>
      <c r="J166" s="37">
        <f>MIN(VLOOKUP(B166,órabérek,2,FALSE),adatok!$B$5)</f>
        <v>45</v>
      </c>
      <c r="K166" s="37">
        <f>adatok!$B$5</f>
        <v>45</v>
      </c>
      <c r="L166" s="37">
        <f t="shared" si="30"/>
        <v>4815</v>
      </c>
      <c r="M166" s="38">
        <f t="shared" si="31"/>
        <v>3129</v>
      </c>
      <c r="N166" s="38">
        <f t="shared" si="32"/>
        <v>1686</v>
      </c>
      <c r="O166" s="38">
        <f t="shared" si="33"/>
        <v>1097</v>
      </c>
    </row>
    <row r="167" spans="1:15" x14ac:dyDescent="0.2">
      <c r="A167" s="265" t="s">
        <v>698</v>
      </c>
      <c r="B167" s="265" t="s">
        <v>186</v>
      </c>
      <c r="C167" s="265" t="s">
        <v>171</v>
      </c>
      <c r="D167" s="266">
        <v>0</v>
      </c>
      <c r="E167" s="266">
        <v>154</v>
      </c>
      <c r="F167" s="266">
        <v>0</v>
      </c>
      <c r="G167" s="266">
        <v>0</v>
      </c>
      <c r="H167" s="36">
        <f>adatok!$B$12*G167</f>
        <v>0</v>
      </c>
      <c r="I167" s="38">
        <f t="shared" si="29"/>
        <v>45</v>
      </c>
      <c r="J167" s="37">
        <f>MIN(VLOOKUP(B167,órabérek,2,FALSE),adatok!$B$5)</f>
        <v>45</v>
      </c>
      <c r="K167" s="37">
        <f>adatok!$B$5</f>
        <v>45</v>
      </c>
      <c r="L167" s="37">
        <f t="shared" si="30"/>
        <v>6930</v>
      </c>
      <c r="M167" s="38">
        <f t="shared" si="31"/>
        <v>4504</v>
      </c>
      <c r="N167" s="38">
        <f t="shared" si="32"/>
        <v>2426</v>
      </c>
      <c r="O167" s="38">
        <f t="shared" si="33"/>
        <v>1580</v>
      </c>
    </row>
    <row r="168" spans="1:15" x14ac:dyDescent="0.2">
      <c r="A168" s="265" t="s">
        <v>699</v>
      </c>
      <c r="B168" s="265" t="s">
        <v>81</v>
      </c>
      <c r="C168" s="265" t="s">
        <v>171</v>
      </c>
      <c r="D168" s="266">
        <v>28</v>
      </c>
      <c r="E168" s="266">
        <v>14</v>
      </c>
      <c r="F168" s="266">
        <v>14</v>
      </c>
      <c r="G168" s="266">
        <v>0</v>
      </c>
      <c r="H168" s="36">
        <f>adatok!$B$12*G168</f>
        <v>0</v>
      </c>
      <c r="I168" s="38">
        <f t="shared" si="29"/>
        <v>50</v>
      </c>
      <c r="J168" s="37">
        <f>MIN(VLOOKUP(B168,órabérek,2,FALSE),adatok!$B$5)</f>
        <v>45</v>
      </c>
      <c r="K168" s="37">
        <f>adatok!$B$5</f>
        <v>45</v>
      </c>
      <c r="L168" s="37">
        <f t="shared" si="30"/>
        <v>3610</v>
      </c>
      <c r="M168" s="38">
        <f t="shared" si="31"/>
        <v>2346</v>
      </c>
      <c r="N168" s="38">
        <f t="shared" si="32"/>
        <v>1264</v>
      </c>
      <c r="O168" s="38">
        <f t="shared" si="33"/>
        <v>823</v>
      </c>
    </row>
    <row r="169" spans="1:15" x14ac:dyDescent="0.2">
      <c r="A169" s="265" t="s">
        <v>700</v>
      </c>
      <c r="B169" s="265" t="s">
        <v>188</v>
      </c>
      <c r="C169" s="265" t="s">
        <v>171</v>
      </c>
      <c r="D169" s="266">
        <v>28</v>
      </c>
      <c r="E169" s="266">
        <v>14</v>
      </c>
      <c r="F169" s="266">
        <v>14</v>
      </c>
      <c r="G169" s="266">
        <v>0</v>
      </c>
      <c r="H169" s="36">
        <f>adatok!$B$12*G169</f>
        <v>0</v>
      </c>
      <c r="I169" s="38">
        <f t="shared" si="24"/>
        <v>50</v>
      </c>
      <c r="J169" s="37">
        <f>MIN(VLOOKUP(B169,órabérek,2,FALSE),adatok!$B$5)</f>
        <v>45</v>
      </c>
      <c r="K169" s="37">
        <f>adatok!$B$5</f>
        <v>45</v>
      </c>
      <c r="L169" s="37">
        <f t="shared" si="25"/>
        <v>3610</v>
      </c>
      <c r="M169" s="38">
        <f t="shared" si="26"/>
        <v>2346</v>
      </c>
      <c r="N169" s="38">
        <f t="shared" si="27"/>
        <v>1264</v>
      </c>
      <c r="O169" s="38">
        <f t="shared" si="28"/>
        <v>823</v>
      </c>
    </row>
    <row r="170" spans="1:15" x14ac:dyDescent="0.2">
      <c r="A170" s="265" t="s">
        <v>701</v>
      </c>
      <c r="B170" s="265" t="s">
        <v>186</v>
      </c>
      <c r="C170" s="265" t="s">
        <v>171</v>
      </c>
      <c r="D170" s="266">
        <v>56</v>
      </c>
      <c r="E170" s="266">
        <v>42</v>
      </c>
      <c r="F170" s="266">
        <v>13</v>
      </c>
      <c r="G170" s="266">
        <v>6</v>
      </c>
      <c r="H170" s="36">
        <f>adatok!$B$12*G170</f>
        <v>90</v>
      </c>
      <c r="I170" s="38">
        <f t="shared" si="24"/>
        <v>45</v>
      </c>
      <c r="J170" s="37">
        <f>MIN(VLOOKUP(B170,órabérek,2,FALSE),adatok!$B$5)</f>
        <v>45</v>
      </c>
      <c r="K170" s="37">
        <f>adatok!$B$5</f>
        <v>45</v>
      </c>
      <c r="L170" s="37">
        <f t="shared" si="25"/>
        <v>11160</v>
      </c>
      <c r="M170" s="38">
        <f t="shared" si="26"/>
        <v>7254</v>
      </c>
      <c r="N170" s="38">
        <f t="shared" si="27"/>
        <v>3906</v>
      </c>
      <c r="O170" s="38">
        <f t="shared" si="28"/>
        <v>2544</v>
      </c>
    </row>
    <row r="171" spans="1:15" x14ac:dyDescent="0.2">
      <c r="A171" s="265"/>
      <c r="B171" s="265"/>
      <c r="C171" s="265"/>
      <c r="D171" s="266"/>
      <c r="E171" s="266"/>
      <c r="F171" s="266"/>
      <c r="G171" s="266"/>
      <c r="H171" s="36">
        <f>adatok!$B$12*G171</f>
        <v>0</v>
      </c>
      <c r="I171" s="38">
        <f t="shared" ref="I171:I176" si="34">VLOOKUP(B171,órabérek,2,FALSE)</f>
        <v>0</v>
      </c>
      <c r="J171" s="37">
        <f>MIN(VLOOKUP(B171,órabérek,2,FALSE),adatok!$B$5)</f>
        <v>0</v>
      </c>
      <c r="K171" s="37">
        <f>adatok!$B$5</f>
        <v>45</v>
      </c>
      <c r="L171" s="37">
        <f t="shared" ref="L171:L176" si="35">D171*2*I171+E171*J171+INT(F171/3)*J171+H171*K171</f>
        <v>0</v>
      </c>
      <c r="M171" s="38">
        <f t="shared" ref="M171:M176" si="36">INT(L171*65%)</f>
        <v>0</v>
      </c>
      <c r="N171" s="38">
        <f t="shared" ref="N171:N176" si="37">L171-M171</f>
        <v>0</v>
      </c>
      <c r="O171" s="38">
        <f t="shared" ref="O171:O176" si="38">INT(L171*adókulcs)</f>
        <v>0</v>
      </c>
    </row>
    <row r="172" spans="1:15" x14ac:dyDescent="0.2">
      <c r="A172" s="265"/>
      <c r="B172" s="265"/>
      <c r="C172" s="265"/>
      <c r="D172" s="266"/>
      <c r="E172" s="266"/>
      <c r="F172" s="266"/>
      <c r="G172" s="266"/>
      <c r="H172" s="36">
        <f>adatok!$B$12*G172</f>
        <v>0</v>
      </c>
      <c r="I172" s="38">
        <f t="shared" si="34"/>
        <v>0</v>
      </c>
      <c r="J172" s="37">
        <f>MIN(VLOOKUP(B172,órabérek,2,FALSE),adatok!$B$5)</f>
        <v>0</v>
      </c>
      <c r="K172" s="37">
        <f>adatok!$B$5</f>
        <v>45</v>
      </c>
      <c r="L172" s="37">
        <f t="shared" si="35"/>
        <v>0</v>
      </c>
      <c r="M172" s="38">
        <f t="shared" si="36"/>
        <v>0</v>
      </c>
      <c r="N172" s="38">
        <f t="shared" si="37"/>
        <v>0</v>
      </c>
      <c r="O172" s="38">
        <f t="shared" si="38"/>
        <v>0</v>
      </c>
    </row>
    <row r="173" spans="1:15" x14ac:dyDescent="0.2">
      <c r="A173" s="265"/>
      <c r="B173" s="265"/>
      <c r="C173" s="265"/>
      <c r="D173" s="266"/>
      <c r="E173" s="266"/>
      <c r="F173" s="266"/>
      <c r="G173" s="266"/>
      <c r="H173" s="36">
        <f>adatok!$B$12*G173</f>
        <v>0</v>
      </c>
      <c r="I173" s="38">
        <f t="shared" si="34"/>
        <v>0</v>
      </c>
      <c r="J173" s="37">
        <f>MIN(VLOOKUP(B173,órabérek,2,FALSE),adatok!$B$5)</f>
        <v>0</v>
      </c>
      <c r="K173" s="37">
        <f>adatok!$B$5</f>
        <v>45</v>
      </c>
      <c r="L173" s="37">
        <f t="shared" si="35"/>
        <v>0</v>
      </c>
      <c r="M173" s="38">
        <f t="shared" si="36"/>
        <v>0</v>
      </c>
      <c r="N173" s="38">
        <f t="shared" si="37"/>
        <v>0</v>
      </c>
      <c r="O173" s="38">
        <f t="shared" si="38"/>
        <v>0</v>
      </c>
    </row>
    <row r="174" spans="1:15" x14ac:dyDescent="0.2">
      <c r="A174" s="265"/>
      <c r="B174" s="265"/>
      <c r="C174" s="265"/>
      <c r="D174" s="266"/>
      <c r="E174" s="266"/>
      <c r="F174" s="266"/>
      <c r="G174" s="266"/>
      <c r="H174" s="36">
        <f>adatok!$B$12*G174</f>
        <v>0</v>
      </c>
      <c r="I174" s="38">
        <f t="shared" si="34"/>
        <v>0</v>
      </c>
      <c r="J174" s="37">
        <f>MIN(VLOOKUP(B174,órabérek,2,FALSE),adatok!$B$5)</f>
        <v>0</v>
      </c>
      <c r="K174" s="37">
        <f>adatok!$B$5</f>
        <v>45</v>
      </c>
      <c r="L174" s="37">
        <f t="shared" si="35"/>
        <v>0</v>
      </c>
      <c r="M174" s="38">
        <f t="shared" si="36"/>
        <v>0</v>
      </c>
      <c r="N174" s="38">
        <f t="shared" si="37"/>
        <v>0</v>
      </c>
      <c r="O174" s="38">
        <f t="shared" si="38"/>
        <v>0</v>
      </c>
    </row>
    <row r="175" spans="1:15" x14ac:dyDescent="0.2">
      <c r="A175" s="265"/>
      <c r="B175" s="265"/>
      <c r="C175" s="265"/>
      <c r="D175" s="266"/>
      <c r="E175" s="266"/>
      <c r="F175" s="266"/>
      <c r="G175" s="266"/>
      <c r="H175" s="36">
        <f>adatok!$B$12*G175</f>
        <v>0</v>
      </c>
      <c r="I175" s="38">
        <f t="shared" si="34"/>
        <v>0</v>
      </c>
      <c r="J175" s="37">
        <f>MIN(VLOOKUP(B175,órabérek,2,FALSE),adatok!$B$5)</f>
        <v>0</v>
      </c>
      <c r="K175" s="37">
        <f>adatok!$B$5</f>
        <v>45</v>
      </c>
      <c r="L175" s="37">
        <f t="shared" si="35"/>
        <v>0</v>
      </c>
      <c r="M175" s="38">
        <f t="shared" si="36"/>
        <v>0</v>
      </c>
      <c r="N175" s="38">
        <f t="shared" si="37"/>
        <v>0</v>
      </c>
      <c r="O175" s="38">
        <f t="shared" si="38"/>
        <v>0</v>
      </c>
    </row>
    <row r="176" spans="1:15" x14ac:dyDescent="0.2">
      <c r="A176" s="265"/>
      <c r="B176" s="265"/>
      <c r="C176" s="265"/>
      <c r="D176" s="266"/>
      <c r="E176" s="266"/>
      <c r="F176" s="266"/>
      <c r="G176" s="266"/>
      <c r="H176" s="36">
        <f>adatok!$B$12*G176</f>
        <v>0</v>
      </c>
      <c r="I176" s="38">
        <f t="shared" si="34"/>
        <v>0</v>
      </c>
      <c r="J176" s="37">
        <f>MIN(VLOOKUP(B176,órabérek,2,FALSE),adatok!$B$5)</f>
        <v>0</v>
      </c>
      <c r="K176" s="37">
        <f>adatok!$B$5</f>
        <v>45</v>
      </c>
      <c r="L176" s="37">
        <f t="shared" si="35"/>
        <v>0</v>
      </c>
      <c r="M176" s="38">
        <f t="shared" si="36"/>
        <v>0</v>
      </c>
      <c r="N176" s="38">
        <f t="shared" si="37"/>
        <v>0</v>
      </c>
      <c r="O176" s="38">
        <f t="shared" si="38"/>
        <v>0</v>
      </c>
    </row>
    <row r="177" spans="1:15" x14ac:dyDescent="0.2">
      <c r="A177" s="216"/>
      <c r="B177" s="216"/>
      <c r="C177" s="216"/>
      <c r="D177" s="227"/>
      <c r="E177" s="227"/>
      <c r="F177" s="227"/>
      <c r="G177" s="227"/>
      <c r="H177" s="36">
        <f>adatok!$B$12*G177</f>
        <v>0</v>
      </c>
      <c r="I177" s="38">
        <f t="shared" si="24"/>
        <v>0</v>
      </c>
      <c r="J177" s="37">
        <f>MIN(VLOOKUP(B177,órabérek,2,FALSE),adatok!$B$5)</f>
        <v>0</v>
      </c>
      <c r="K177" s="37">
        <f>adatok!$B$5</f>
        <v>45</v>
      </c>
      <c r="L177" s="37">
        <f t="shared" si="25"/>
        <v>0</v>
      </c>
      <c r="M177" s="38">
        <f t="shared" si="26"/>
        <v>0</v>
      </c>
      <c r="N177" s="38">
        <f t="shared" si="27"/>
        <v>0</v>
      </c>
      <c r="O177" s="38">
        <f t="shared" si="28"/>
        <v>0</v>
      </c>
    </row>
    <row r="178" spans="1:15" x14ac:dyDescent="0.2">
      <c r="A178" s="216"/>
      <c r="B178" s="216"/>
      <c r="C178" s="216"/>
      <c r="D178" s="227"/>
      <c r="E178" s="227"/>
      <c r="F178" s="227"/>
      <c r="G178" s="227"/>
      <c r="H178" s="36">
        <f>adatok!$B$12*G178</f>
        <v>0</v>
      </c>
      <c r="I178" s="38">
        <f t="shared" si="24"/>
        <v>0</v>
      </c>
      <c r="J178" s="37">
        <f>MIN(VLOOKUP(B178,órabérek,2,FALSE),adatok!$B$5)</f>
        <v>0</v>
      </c>
      <c r="K178" s="37">
        <f>adatok!$B$5</f>
        <v>45</v>
      </c>
      <c r="L178" s="37">
        <f t="shared" si="25"/>
        <v>0</v>
      </c>
      <c r="M178" s="38">
        <f t="shared" si="26"/>
        <v>0</v>
      </c>
      <c r="N178" s="38">
        <f t="shared" si="27"/>
        <v>0</v>
      </c>
      <c r="O178" s="38">
        <f t="shared" si="28"/>
        <v>0</v>
      </c>
    </row>
    <row r="179" spans="1:15" x14ac:dyDescent="0.2">
      <c r="A179" s="216"/>
      <c r="B179" s="216"/>
      <c r="C179" s="216"/>
      <c r="D179" s="227"/>
      <c r="E179" s="227"/>
      <c r="F179" s="227"/>
      <c r="G179" s="227"/>
      <c r="H179" s="36">
        <f>adatok!$B$12*G179</f>
        <v>0</v>
      </c>
      <c r="I179" s="38">
        <f t="shared" si="24"/>
        <v>0</v>
      </c>
      <c r="J179" s="37">
        <f>MIN(VLOOKUP(B179,órabérek,2,FALSE),adatok!$B$5)</f>
        <v>0</v>
      </c>
      <c r="K179" s="37">
        <f>adatok!$B$5</f>
        <v>45</v>
      </c>
      <c r="L179" s="37">
        <f t="shared" si="25"/>
        <v>0</v>
      </c>
      <c r="M179" s="38">
        <f t="shared" si="26"/>
        <v>0</v>
      </c>
      <c r="N179" s="38">
        <f t="shared" si="27"/>
        <v>0</v>
      </c>
      <c r="O179" s="38">
        <f t="shared" si="28"/>
        <v>0</v>
      </c>
    </row>
    <row r="180" spans="1:15" x14ac:dyDescent="0.2">
      <c r="A180" s="216"/>
      <c r="B180" s="216"/>
      <c r="C180" s="216"/>
      <c r="D180" s="227"/>
      <c r="E180" s="227"/>
      <c r="F180" s="227"/>
      <c r="G180" s="227"/>
      <c r="H180" s="36">
        <f>adatok!$B$12*G180</f>
        <v>0</v>
      </c>
      <c r="I180" s="38">
        <f t="shared" si="24"/>
        <v>0</v>
      </c>
      <c r="J180" s="37">
        <f>MIN(VLOOKUP(B180,órabérek,2,FALSE),adatok!$B$5)</f>
        <v>0</v>
      </c>
      <c r="K180" s="37">
        <f>adatok!$B$5</f>
        <v>45</v>
      </c>
      <c r="L180" s="37">
        <f t="shared" si="25"/>
        <v>0</v>
      </c>
      <c r="M180" s="38">
        <f t="shared" si="26"/>
        <v>0</v>
      </c>
      <c r="N180" s="38">
        <f t="shared" si="27"/>
        <v>0</v>
      </c>
      <c r="O180" s="38">
        <f t="shared" si="28"/>
        <v>0</v>
      </c>
    </row>
    <row r="181" spans="1:15" x14ac:dyDescent="0.2">
      <c r="A181" s="216"/>
      <c r="B181" s="216"/>
      <c r="C181" s="216"/>
      <c r="D181" s="227"/>
      <c r="E181" s="227"/>
      <c r="F181" s="227"/>
      <c r="G181" s="227"/>
      <c r="H181" s="36">
        <f>adatok!$B$12*G181</f>
        <v>0</v>
      </c>
      <c r="I181" s="38">
        <f t="shared" si="24"/>
        <v>0</v>
      </c>
      <c r="J181" s="37">
        <f>MIN(VLOOKUP(B181,órabérek,2,FALSE),adatok!$B$5)</f>
        <v>0</v>
      </c>
      <c r="K181" s="37">
        <f>adatok!$B$5</f>
        <v>45</v>
      </c>
      <c r="L181" s="37">
        <f t="shared" si="25"/>
        <v>0</v>
      </c>
      <c r="M181" s="38">
        <f t="shared" si="26"/>
        <v>0</v>
      </c>
      <c r="N181" s="38">
        <f t="shared" si="27"/>
        <v>0</v>
      </c>
      <c r="O181" s="38">
        <f t="shared" si="28"/>
        <v>0</v>
      </c>
    </row>
    <row r="182" spans="1:15" x14ac:dyDescent="0.2">
      <c r="A182" s="216"/>
      <c r="B182" s="216"/>
      <c r="C182" s="216"/>
      <c r="D182" s="227"/>
      <c r="E182" s="227"/>
      <c r="F182" s="227"/>
      <c r="G182" s="227"/>
      <c r="H182" s="36">
        <f>adatok!$B$12*G182</f>
        <v>0</v>
      </c>
      <c r="I182" s="38">
        <f t="shared" si="24"/>
        <v>0</v>
      </c>
      <c r="J182" s="37">
        <f>MIN(VLOOKUP(B182,órabérek,2,FALSE),adatok!$B$5)</f>
        <v>0</v>
      </c>
      <c r="K182" s="37">
        <f>adatok!$B$5</f>
        <v>45</v>
      </c>
      <c r="L182" s="37">
        <f t="shared" si="25"/>
        <v>0</v>
      </c>
      <c r="M182" s="38">
        <f t="shared" si="26"/>
        <v>0</v>
      </c>
      <c r="N182" s="38">
        <f t="shared" si="27"/>
        <v>0</v>
      </c>
      <c r="O182" s="38">
        <f t="shared" si="28"/>
        <v>0</v>
      </c>
    </row>
    <row r="183" spans="1:15" x14ac:dyDescent="0.2">
      <c r="A183" s="216"/>
      <c r="B183" s="216"/>
      <c r="C183" s="216"/>
      <c r="D183" s="227"/>
      <c r="E183" s="227"/>
      <c r="F183" s="227"/>
      <c r="G183" s="227"/>
      <c r="H183" s="36">
        <f>adatok!$B$12*G183</f>
        <v>0</v>
      </c>
      <c r="I183" s="38">
        <f t="shared" si="24"/>
        <v>0</v>
      </c>
      <c r="J183" s="37">
        <f>MIN(VLOOKUP(B183,órabérek,2,FALSE),adatok!$B$5)</f>
        <v>0</v>
      </c>
      <c r="K183" s="37">
        <f>adatok!$B$5</f>
        <v>45</v>
      </c>
      <c r="L183" s="37">
        <f t="shared" si="25"/>
        <v>0</v>
      </c>
      <c r="M183" s="38">
        <f t="shared" si="26"/>
        <v>0</v>
      </c>
      <c r="N183" s="38">
        <f t="shared" si="27"/>
        <v>0</v>
      </c>
      <c r="O183" s="38">
        <f t="shared" si="28"/>
        <v>0</v>
      </c>
    </row>
    <row r="184" spans="1:15" x14ac:dyDescent="0.2">
      <c r="A184" s="216"/>
      <c r="B184" s="216"/>
      <c r="C184" s="216"/>
      <c r="D184" s="227"/>
      <c r="E184" s="227"/>
      <c r="F184" s="227"/>
      <c r="G184" s="227"/>
      <c r="H184" s="36">
        <f>adatok!$B$12*G184</f>
        <v>0</v>
      </c>
      <c r="I184" s="38">
        <f t="shared" si="24"/>
        <v>0</v>
      </c>
      <c r="J184" s="37">
        <f>MIN(VLOOKUP(B184,órabérek,2,FALSE),adatok!$B$5)</f>
        <v>0</v>
      </c>
      <c r="K184" s="37">
        <f>adatok!$B$5</f>
        <v>45</v>
      </c>
      <c r="L184" s="37">
        <f t="shared" si="25"/>
        <v>0</v>
      </c>
      <c r="M184" s="38">
        <f t="shared" si="26"/>
        <v>0</v>
      </c>
      <c r="N184" s="38">
        <f t="shared" si="27"/>
        <v>0</v>
      </c>
      <c r="O184" s="38">
        <f t="shared" si="28"/>
        <v>0</v>
      </c>
    </row>
    <row r="185" spans="1:15" x14ac:dyDescent="0.2">
      <c r="A185" s="216"/>
      <c r="B185" s="216"/>
      <c r="C185" s="216"/>
      <c r="D185" s="227"/>
      <c r="E185" s="227"/>
      <c r="F185" s="227"/>
      <c r="G185" s="227"/>
      <c r="H185" s="36">
        <f>adatok!$B$12*G185</f>
        <v>0</v>
      </c>
      <c r="I185" s="38">
        <f t="shared" si="24"/>
        <v>0</v>
      </c>
      <c r="J185" s="37">
        <f>MIN(VLOOKUP(B185,órabérek,2,FALSE),adatok!$B$5)</f>
        <v>0</v>
      </c>
      <c r="K185" s="37">
        <f>adatok!$B$5</f>
        <v>45</v>
      </c>
      <c r="L185" s="37">
        <f t="shared" si="25"/>
        <v>0</v>
      </c>
      <c r="M185" s="38">
        <f t="shared" si="26"/>
        <v>0</v>
      </c>
      <c r="N185" s="38">
        <f t="shared" si="27"/>
        <v>0</v>
      </c>
      <c r="O185" s="38">
        <f t="shared" si="28"/>
        <v>0</v>
      </c>
    </row>
    <row r="186" spans="1:15" x14ac:dyDescent="0.2">
      <c r="B186" s="3">
        <f>COUNTA(B9:B185)</f>
        <v>143</v>
      </c>
    </row>
  </sheetData>
  <mergeCells count="2">
    <mergeCell ref="D7:E7"/>
    <mergeCell ref="A2:B2"/>
  </mergeCells>
  <phoneticPr fontId="10" type="noConversion"/>
  <dataValidations count="2">
    <dataValidation type="list" allowBlank="1" showErrorMessage="1" sqref="B10:B97 B99:B185">
      <formula1>oktatói_fokozatok</formula1>
    </dataValidation>
    <dataValidation type="list" allowBlank="1" showErrorMessage="1" sqref="C10:C97 C99:C185">
      <formula1>tanszékek</formula1>
    </dataValidation>
  </dataValidations>
  <pageMargins left="0.74791666666666667" right="0.74791666666666667" top="0.72013888888888888" bottom="0.75" header="0.5" footer="0.5"/>
  <pageSetup paperSize="9" scale="70" firstPageNumber="0" fitToHeight="3" orientation="landscape" horizontalDpi="300" verticalDpi="300" r:id="rId1"/>
  <headerFooter alignWithMargins="0">
    <oddHeader>&amp;R&amp;D, &amp;T</oddHeader>
    <oddFooter>&amp;L&amp;F
BIZALMAS&amp;C&amp;A&amp;R&amp;P/&amp;N oldal</oddFooter>
  </headerFooter>
  <rowBreaks count="1" manualBreakCount="1">
    <brk id="1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5"/>
  <sheetViews>
    <sheetView workbookViewId="0">
      <pane xSplit="1" ySplit="8" topLeftCell="B84" activePane="bottomRight" state="frozen"/>
      <selection activeCell="Z9" sqref="Z9:AA9"/>
      <selection pane="topRight" activeCell="Z9" sqref="Z9:AA9"/>
      <selection pane="bottomLeft" activeCell="Z9" sqref="Z9:AA9"/>
      <selection pane="bottomRight" activeCell="Z9" sqref="Z9:AA9"/>
    </sheetView>
  </sheetViews>
  <sheetFormatPr defaultColWidth="9.140625" defaultRowHeight="12.75" x14ac:dyDescent="0.2"/>
  <cols>
    <col min="1" max="1" width="40.5703125" style="3" bestFit="1" customWidth="1"/>
    <col min="2" max="2" width="11.28515625" style="3" bestFit="1" customWidth="1"/>
    <col min="3" max="3" width="33.85546875" style="3" bestFit="1" customWidth="1"/>
    <col min="4" max="5" width="10.140625" style="4" customWidth="1"/>
    <col min="6" max="6" width="10.28515625" style="4" customWidth="1"/>
    <col min="7" max="7" width="9.42578125" style="4" customWidth="1"/>
    <col min="8" max="8" width="9.42578125" style="3" customWidth="1"/>
    <col min="9" max="9" width="8.5703125" style="3" bestFit="1" customWidth="1"/>
    <col min="10" max="12" width="8" style="4" customWidth="1"/>
    <col min="13" max="13" width="10.5703125" style="3" customWidth="1"/>
    <col min="14" max="14" width="10.28515625" style="3" customWidth="1"/>
    <col min="15" max="16384" width="9.140625" style="3"/>
  </cols>
  <sheetData>
    <row r="1" spans="1:15" x14ac:dyDescent="0.2">
      <c r="A1" s="228" t="str">
        <f>Összesítő!B2</f>
        <v>EMTE - Marosvásárhelyi kar</v>
      </c>
    </row>
    <row r="2" spans="1:15" s="86" customFormat="1" ht="12.75" customHeight="1" thickBot="1" x14ac:dyDescent="0.25">
      <c r="A2" s="310" t="s">
        <v>132</v>
      </c>
      <c r="B2" s="310"/>
      <c r="C2" s="114">
        <f>SUM(C3:C5)</f>
        <v>233513</v>
      </c>
      <c r="D2" s="109"/>
      <c r="E2" s="110"/>
      <c r="I2" s="111"/>
      <c r="M2" s="112"/>
    </row>
    <row r="3" spans="1:15" s="12" customFormat="1" ht="12.75" customHeight="1" thickTop="1" x14ac:dyDescent="0.2">
      <c r="A3" s="52" t="s">
        <v>113</v>
      </c>
      <c r="B3" s="31"/>
      <c r="C3" s="115">
        <f>SUM(M10:M144)</f>
        <v>123607</v>
      </c>
      <c r="D3" s="31"/>
      <c r="E3" s="54"/>
      <c r="G3" s="56"/>
      <c r="H3" s="56"/>
      <c r="I3" s="57"/>
      <c r="M3" s="162"/>
    </row>
    <row r="4" spans="1:15" s="12" customFormat="1" ht="13.5" customHeight="1" x14ac:dyDescent="0.2">
      <c r="A4" s="52" t="s">
        <v>114</v>
      </c>
      <c r="B4" s="31"/>
      <c r="C4" s="115">
        <f>SUM(N10:N144)</f>
        <v>66563</v>
      </c>
      <c r="D4" s="31"/>
      <c r="E4" s="54"/>
      <c r="I4" s="58"/>
      <c r="J4" s="56"/>
      <c r="M4" s="162"/>
    </row>
    <row r="5" spans="1:15" s="12" customFormat="1" ht="13.5" customHeight="1" x14ac:dyDescent="0.2">
      <c r="A5" s="52" t="s">
        <v>115</v>
      </c>
      <c r="B5" s="31"/>
      <c r="C5" s="115">
        <f>SUM(O10:O144)</f>
        <v>43343</v>
      </c>
      <c r="D5" s="31"/>
      <c r="E5" s="54"/>
      <c r="I5" s="58"/>
      <c r="J5" s="56"/>
      <c r="M5" s="162"/>
    </row>
    <row r="6" spans="1:15" x14ac:dyDescent="0.2">
      <c r="D6" s="161"/>
      <c r="E6" s="161"/>
      <c r="F6" s="161"/>
      <c r="G6" s="161"/>
      <c r="I6" s="161"/>
      <c r="J6" s="161"/>
      <c r="K6" s="3"/>
      <c r="L6" s="27"/>
      <c r="M6" s="27"/>
      <c r="O6" s="161"/>
    </row>
    <row r="7" spans="1:15" ht="13.15" customHeight="1" x14ac:dyDescent="0.2">
      <c r="D7" s="309" t="s">
        <v>133</v>
      </c>
      <c r="E7" s="309"/>
      <c r="F7" s="161"/>
      <c r="G7" s="161"/>
      <c r="I7" s="161"/>
      <c r="J7" s="161"/>
      <c r="K7" s="3"/>
      <c r="L7" s="27"/>
      <c r="M7" s="27"/>
      <c r="O7" s="161"/>
    </row>
    <row r="8" spans="1:15" s="12" customFormat="1" ht="45" x14ac:dyDescent="0.2">
      <c r="A8" s="163" t="s">
        <v>116</v>
      </c>
      <c r="B8" s="163" t="s">
        <v>117</v>
      </c>
      <c r="C8" s="163" t="s">
        <v>0</v>
      </c>
      <c r="D8" s="163" t="s">
        <v>121</v>
      </c>
      <c r="E8" s="163" t="s">
        <v>122</v>
      </c>
      <c r="F8" s="163" t="s">
        <v>119</v>
      </c>
      <c r="G8" s="163" t="s">
        <v>123</v>
      </c>
      <c r="H8" s="163" t="s">
        <v>126</v>
      </c>
      <c r="I8" s="163" t="s">
        <v>124</v>
      </c>
      <c r="J8" s="163" t="s">
        <v>125</v>
      </c>
      <c r="K8" s="163" t="s">
        <v>131</v>
      </c>
      <c r="L8" s="163" t="s">
        <v>127</v>
      </c>
      <c r="M8" s="163" t="s">
        <v>128</v>
      </c>
      <c r="N8" s="163" t="s">
        <v>129</v>
      </c>
      <c r="O8" s="163" t="s">
        <v>130</v>
      </c>
    </row>
    <row r="9" spans="1:15" ht="12.75" customHeight="1" x14ac:dyDescent="0.2">
      <c r="A9" s="166" t="s">
        <v>341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</row>
    <row r="10" spans="1:15" ht="12.75" customHeight="1" x14ac:dyDescent="0.2">
      <c r="A10" s="223" t="s">
        <v>608</v>
      </c>
      <c r="B10" s="223" t="s">
        <v>183</v>
      </c>
      <c r="C10" s="223" t="s">
        <v>371</v>
      </c>
      <c r="D10" s="224">
        <v>0</v>
      </c>
      <c r="E10" s="224">
        <v>42</v>
      </c>
      <c r="F10" s="224"/>
      <c r="G10" s="224"/>
      <c r="H10" s="36">
        <f>adatok!$B$12*G10</f>
        <v>0</v>
      </c>
      <c r="I10" s="37">
        <f t="shared" ref="I10:I73" si="0">VLOOKUP(B10,órabérek,2,FALSE)</f>
        <v>35</v>
      </c>
      <c r="J10" s="37">
        <f>MIN(VLOOKUP(B10,órabérek,2,FALSE),adatok!$B$5)</f>
        <v>35</v>
      </c>
      <c r="K10" s="37">
        <f>adatok!$B$5</f>
        <v>45</v>
      </c>
      <c r="L10" s="37">
        <f>D10*2*I10+E10*J10+INT(F10/3)*J10+H10*K10</f>
        <v>1470</v>
      </c>
      <c r="M10" s="37">
        <f>INT(L10*65%)</f>
        <v>955</v>
      </c>
      <c r="N10" s="37">
        <f>L10-M10</f>
        <v>515</v>
      </c>
      <c r="O10" s="37">
        <f t="shared" ref="O10:O73" si="1">INT(L10*adókulcs)</f>
        <v>335</v>
      </c>
    </row>
    <row r="11" spans="1:15" ht="12.75" customHeight="1" x14ac:dyDescent="0.2">
      <c r="A11" s="216" t="s">
        <v>609</v>
      </c>
      <c r="B11" s="216" t="s">
        <v>183</v>
      </c>
      <c r="C11" s="216" t="s">
        <v>371</v>
      </c>
      <c r="D11" s="218">
        <v>0</v>
      </c>
      <c r="E11" s="218">
        <v>84</v>
      </c>
      <c r="F11" s="218"/>
      <c r="G11" s="218"/>
      <c r="H11" s="36">
        <f>adatok!$B$12*G11</f>
        <v>0</v>
      </c>
      <c r="I11" s="38">
        <f t="shared" si="0"/>
        <v>35</v>
      </c>
      <c r="J11" s="37">
        <f>MIN(VLOOKUP(B11,órabérek,2,FALSE),adatok!$B$5)</f>
        <v>35</v>
      </c>
      <c r="K11" s="37">
        <f>adatok!$B$5</f>
        <v>45</v>
      </c>
      <c r="L11" s="37">
        <f>D11*2*I11+E11*J11+INT(F11/3)*J11+H11*K11</f>
        <v>2940</v>
      </c>
      <c r="M11" s="38">
        <f t="shared" ref="M11:M75" si="2">INT(L11*65%)</f>
        <v>1911</v>
      </c>
      <c r="N11" s="38">
        <f t="shared" ref="N11:N75" si="3">L11-M11</f>
        <v>1029</v>
      </c>
      <c r="O11" s="38">
        <f t="shared" si="1"/>
        <v>670</v>
      </c>
    </row>
    <row r="12" spans="1:15" ht="12.75" customHeight="1" x14ac:dyDescent="0.2">
      <c r="A12" s="216" t="s">
        <v>610</v>
      </c>
      <c r="B12" s="216" t="s">
        <v>183</v>
      </c>
      <c r="C12" s="216" t="s">
        <v>371</v>
      </c>
      <c r="D12" s="218">
        <v>0</v>
      </c>
      <c r="E12" s="218">
        <v>280</v>
      </c>
      <c r="F12" s="218"/>
      <c r="G12" s="218"/>
      <c r="H12" s="36">
        <f>adatok!$B$12*G12</f>
        <v>0</v>
      </c>
      <c r="I12" s="38">
        <f t="shared" si="0"/>
        <v>35</v>
      </c>
      <c r="J12" s="37">
        <f>MIN(VLOOKUP(B12,órabérek,2,FALSE),adatok!$B$5)</f>
        <v>35</v>
      </c>
      <c r="K12" s="37">
        <f>adatok!$B$5</f>
        <v>45</v>
      </c>
      <c r="L12" s="37">
        <f t="shared" ref="L12:L75" si="4">D12*2*I12+E12*J12+INT(F12/3)*J12+H12*K12</f>
        <v>9800</v>
      </c>
      <c r="M12" s="38">
        <f t="shared" si="2"/>
        <v>6370</v>
      </c>
      <c r="N12" s="38">
        <f t="shared" si="3"/>
        <v>3430</v>
      </c>
      <c r="O12" s="38">
        <f t="shared" si="1"/>
        <v>2234</v>
      </c>
    </row>
    <row r="13" spans="1:15" ht="12.75" customHeight="1" x14ac:dyDescent="0.2">
      <c r="A13" s="216" t="s">
        <v>611</v>
      </c>
      <c r="B13" s="216" t="s">
        <v>183</v>
      </c>
      <c r="C13" s="216" t="s">
        <v>371</v>
      </c>
      <c r="D13" s="218">
        <v>0</v>
      </c>
      <c r="E13" s="218">
        <v>84</v>
      </c>
      <c r="F13" s="218"/>
      <c r="G13" s="218"/>
      <c r="H13" s="36">
        <f>adatok!$B$12*G13</f>
        <v>0</v>
      </c>
      <c r="I13" s="38">
        <f t="shared" si="0"/>
        <v>35</v>
      </c>
      <c r="J13" s="37">
        <f>MIN(VLOOKUP(B13,órabérek,2,FALSE),adatok!$B$5)</f>
        <v>35</v>
      </c>
      <c r="K13" s="37">
        <f>adatok!$B$5</f>
        <v>45</v>
      </c>
      <c r="L13" s="37">
        <f t="shared" si="4"/>
        <v>2940</v>
      </c>
      <c r="M13" s="38">
        <f t="shared" si="2"/>
        <v>1911</v>
      </c>
      <c r="N13" s="38">
        <f t="shared" si="3"/>
        <v>1029</v>
      </c>
      <c r="O13" s="38">
        <f t="shared" si="1"/>
        <v>670</v>
      </c>
    </row>
    <row r="14" spans="1:15" ht="12.75" customHeight="1" x14ac:dyDescent="0.2">
      <c r="A14" s="216" t="s">
        <v>612</v>
      </c>
      <c r="B14" s="216" t="s">
        <v>183</v>
      </c>
      <c r="C14" s="216" t="s">
        <v>371</v>
      </c>
      <c r="D14" s="218">
        <v>0</v>
      </c>
      <c r="E14" s="218">
        <v>140</v>
      </c>
      <c r="F14" s="218"/>
      <c r="G14" s="218"/>
      <c r="H14" s="36">
        <f>adatok!$B$12*G14</f>
        <v>0</v>
      </c>
      <c r="I14" s="38">
        <f t="shared" si="0"/>
        <v>35</v>
      </c>
      <c r="J14" s="37">
        <f>MIN(VLOOKUP(B14,órabérek,2,FALSE),adatok!$B$5)</f>
        <v>35</v>
      </c>
      <c r="K14" s="37">
        <f>adatok!$B$5</f>
        <v>45</v>
      </c>
      <c r="L14" s="37">
        <f t="shared" si="4"/>
        <v>4900</v>
      </c>
      <c r="M14" s="38">
        <f t="shared" si="2"/>
        <v>3185</v>
      </c>
      <c r="N14" s="38">
        <f t="shared" si="3"/>
        <v>1715</v>
      </c>
      <c r="O14" s="38">
        <f t="shared" si="1"/>
        <v>1117</v>
      </c>
    </row>
    <row r="15" spans="1:15" ht="12.75" customHeight="1" x14ac:dyDescent="0.2">
      <c r="A15" s="216" t="s">
        <v>613</v>
      </c>
      <c r="B15" s="216" t="s">
        <v>183</v>
      </c>
      <c r="C15" s="216" t="s">
        <v>371</v>
      </c>
      <c r="D15" s="218">
        <v>0</v>
      </c>
      <c r="E15" s="218">
        <v>84</v>
      </c>
      <c r="F15" s="218"/>
      <c r="G15" s="218"/>
      <c r="H15" s="36">
        <f>adatok!$B$12*G15</f>
        <v>0</v>
      </c>
      <c r="I15" s="38">
        <f t="shared" si="0"/>
        <v>35</v>
      </c>
      <c r="J15" s="37">
        <f>MIN(VLOOKUP(B15,órabérek,2,FALSE),adatok!$B$5)</f>
        <v>35</v>
      </c>
      <c r="K15" s="37">
        <f>adatok!$B$5</f>
        <v>45</v>
      </c>
      <c r="L15" s="37">
        <f t="shared" si="4"/>
        <v>2940</v>
      </c>
      <c r="M15" s="38">
        <f t="shared" si="2"/>
        <v>1911</v>
      </c>
      <c r="N15" s="38">
        <f t="shared" si="3"/>
        <v>1029</v>
      </c>
      <c r="O15" s="38">
        <f t="shared" si="1"/>
        <v>670</v>
      </c>
    </row>
    <row r="16" spans="1:15" ht="12.75" customHeight="1" x14ac:dyDescent="0.2">
      <c r="A16" s="216" t="s">
        <v>623</v>
      </c>
      <c r="B16" s="216" t="s">
        <v>188</v>
      </c>
      <c r="C16" s="216" t="s">
        <v>174</v>
      </c>
      <c r="D16" s="218">
        <v>28</v>
      </c>
      <c r="E16" s="218">
        <v>14</v>
      </c>
      <c r="F16" s="218">
        <v>7</v>
      </c>
      <c r="G16" s="218">
        <v>1</v>
      </c>
      <c r="H16" s="36">
        <f>adatok!$B$12*G16</f>
        <v>15</v>
      </c>
      <c r="I16" s="38">
        <f t="shared" si="0"/>
        <v>50</v>
      </c>
      <c r="J16" s="37">
        <f>MIN(VLOOKUP(B16,órabérek,2,FALSE),adatok!$B$5)</f>
        <v>45</v>
      </c>
      <c r="K16" s="37">
        <f>adatok!$B$5</f>
        <v>45</v>
      </c>
      <c r="L16" s="37">
        <f t="shared" si="4"/>
        <v>4195</v>
      </c>
      <c r="M16" s="38">
        <f t="shared" si="2"/>
        <v>2726</v>
      </c>
      <c r="N16" s="38">
        <f t="shared" si="3"/>
        <v>1469</v>
      </c>
      <c r="O16" s="38">
        <f t="shared" si="1"/>
        <v>956</v>
      </c>
    </row>
    <row r="17" spans="1:15" ht="12.75" customHeight="1" x14ac:dyDescent="0.2">
      <c r="A17" s="263" t="s">
        <v>630</v>
      </c>
      <c r="B17" s="263" t="s">
        <v>183</v>
      </c>
      <c r="C17" s="263" t="s">
        <v>170</v>
      </c>
      <c r="D17" s="264"/>
      <c r="E17" s="264">
        <v>56</v>
      </c>
      <c r="F17" s="218"/>
      <c r="G17" s="218"/>
      <c r="H17" s="36">
        <f>adatok!$B$12*G17</f>
        <v>0</v>
      </c>
      <c r="I17" s="38">
        <f t="shared" si="0"/>
        <v>35</v>
      </c>
      <c r="J17" s="37">
        <f>MIN(VLOOKUP(B17,órabérek,2,FALSE),adatok!$B$5)</f>
        <v>35</v>
      </c>
      <c r="K17" s="37">
        <f>adatok!$B$5</f>
        <v>45</v>
      </c>
      <c r="L17" s="37">
        <f t="shared" si="4"/>
        <v>1960</v>
      </c>
      <c r="M17" s="38">
        <f t="shared" si="2"/>
        <v>1274</v>
      </c>
      <c r="N17" s="38">
        <f t="shared" si="3"/>
        <v>686</v>
      </c>
      <c r="O17" s="38">
        <f t="shared" si="1"/>
        <v>446</v>
      </c>
    </row>
    <row r="18" spans="1:15" ht="12.75" customHeight="1" x14ac:dyDescent="0.2">
      <c r="A18" s="261" t="s">
        <v>631</v>
      </c>
      <c r="B18" s="261" t="s">
        <v>183</v>
      </c>
      <c r="C18" s="261" t="s">
        <v>170</v>
      </c>
      <c r="D18" s="262"/>
      <c r="E18" s="262">
        <v>28</v>
      </c>
      <c r="F18" s="218"/>
      <c r="G18" s="218"/>
      <c r="H18" s="36">
        <f>adatok!$B$12*G18</f>
        <v>0</v>
      </c>
      <c r="I18" s="38">
        <f t="shared" si="0"/>
        <v>35</v>
      </c>
      <c r="J18" s="37">
        <f>MIN(VLOOKUP(B18,órabérek,2,FALSE),adatok!$B$5)</f>
        <v>35</v>
      </c>
      <c r="K18" s="37">
        <f>adatok!$B$5</f>
        <v>45</v>
      </c>
      <c r="L18" s="37">
        <f t="shared" si="4"/>
        <v>980</v>
      </c>
      <c r="M18" s="38">
        <f t="shared" si="2"/>
        <v>637</v>
      </c>
      <c r="N18" s="38">
        <f t="shared" si="3"/>
        <v>343</v>
      </c>
      <c r="O18" s="38">
        <f t="shared" si="1"/>
        <v>223</v>
      </c>
    </row>
    <row r="19" spans="1:15" ht="12.75" customHeight="1" x14ac:dyDescent="0.2">
      <c r="A19" s="261" t="s">
        <v>632</v>
      </c>
      <c r="B19" s="261" t="s">
        <v>183</v>
      </c>
      <c r="C19" s="261" t="s">
        <v>170</v>
      </c>
      <c r="D19" s="262"/>
      <c r="E19" s="262">
        <v>196</v>
      </c>
      <c r="F19" s="218"/>
      <c r="G19" s="218"/>
      <c r="H19" s="36">
        <f>adatok!$B$12*G19</f>
        <v>0</v>
      </c>
      <c r="I19" s="38">
        <f t="shared" si="0"/>
        <v>35</v>
      </c>
      <c r="J19" s="37">
        <f>MIN(VLOOKUP(B19,órabérek,2,FALSE),adatok!$B$5)</f>
        <v>35</v>
      </c>
      <c r="K19" s="37">
        <f>adatok!$B$5</f>
        <v>45</v>
      </c>
      <c r="L19" s="37">
        <f t="shared" si="4"/>
        <v>6860</v>
      </c>
      <c r="M19" s="38">
        <f t="shared" si="2"/>
        <v>4459</v>
      </c>
      <c r="N19" s="38">
        <f t="shared" si="3"/>
        <v>2401</v>
      </c>
      <c r="O19" s="38">
        <f t="shared" si="1"/>
        <v>1564</v>
      </c>
    </row>
    <row r="20" spans="1:15" ht="12.75" customHeight="1" x14ac:dyDescent="0.2">
      <c r="A20" s="216" t="s">
        <v>702</v>
      </c>
      <c r="B20" s="216" t="s">
        <v>183</v>
      </c>
      <c r="C20" s="216" t="s">
        <v>171</v>
      </c>
      <c r="D20" s="218">
        <v>56</v>
      </c>
      <c r="E20" s="218">
        <v>28</v>
      </c>
      <c r="F20" s="218">
        <v>40</v>
      </c>
      <c r="G20" s="218">
        <v>0</v>
      </c>
      <c r="H20" s="36">
        <f>adatok!$B$12*G20</f>
        <v>0</v>
      </c>
      <c r="I20" s="38">
        <f t="shared" si="0"/>
        <v>35</v>
      </c>
      <c r="J20" s="37">
        <f>MIN(VLOOKUP(B20,órabérek,2,FALSE),adatok!$B$5)</f>
        <v>35</v>
      </c>
      <c r="K20" s="37">
        <f>adatok!$B$5</f>
        <v>45</v>
      </c>
      <c r="L20" s="37">
        <f t="shared" si="4"/>
        <v>5355</v>
      </c>
      <c r="M20" s="38">
        <f t="shared" si="2"/>
        <v>3480</v>
      </c>
      <c r="N20" s="38">
        <f t="shared" si="3"/>
        <v>1875</v>
      </c>
      <c r="O20" s="38">
        <f t="shared" si="1"/>
        <v>1220</v>
      </c>
    </row>
    <row r="21" spans="1:15" ht="12.75" customHeight="1" x14ac:dyDescent="0.2">
      <c r="A21" s="216" t="s">
        <v>703</v>
      </c>
      <c r="B21" s="216" t="s">
        <v>186</v>
      </c>
      <c r="C21" s="216" t="s">
        <v>171</v>
      </c>
      <c r="D21" s="218">
        <v>28</v>
      </c>
      <c r="E21" s="218">
        <v>112</v>
      </c>
      <c r="F21" s="218">
        <v>50</v>
      </c>
      <c r="G21" s="218">
        <v>0</v>
      </c>
      <c r="H21" s="36">
        <f>adatok!$B$12*G21</f>
        <v>0</v>
      </c>
      <c r="I21" s="38">
        <f t="shared" si="0"/>
        <v>45</v>
      </c>
      <c r="J21" s="37">
        <f>MIN(VLOOKUP(B21,órabérek,2,FALSE),adatok!$B$5)</f>
        <v>45</v>
      </c>
      <c r="K21" s="37">
        <f>adatok!$B$5</f>
        <v>45</v>
      </c>
      <c r="L21" s="37">
        <f t="shared" si="4"/>
        <v>8280</v>
      </c>
      <c r="M21" s="38">
        <f t="shared" si="2"/>
        <v>5382</v>
      </c>
      <c r="N21" s="38">
        <f t="shared" si="3"/>
        <v>2898</v>
      </c>
      <c r="O21" s="38">
        <f t="shared" si="1"/>
        <v>1887</v>
      </c>
    </row>
    <row r="22" spans="1:15" ht="12.75" customHeight="1" x14ac:dyDescent="0.2">
      <c r="A22" s="216" t="s">
        <v>704</v>
      </c>
      <c r="B22" s="216" t="s">
        <v>183</v>
      </c>
      <c r="C22" s="216" t="s">
        <v>171</v>
      </c>
      <c r="D22" s="218">
        <v>0</v>
      </c>
      <c r="E22" s="218">
        <v>168</v>
      </c>
      <c r="F22" s="218">
        <v>0</v>
      </c>
      <c r="G22" s="218">
        <v>0</v>
      </c>
      <c r="H22" s="36">
        <f>adatok!$B$12*G22</f>
        <v>0</v>
      </c>
      <c r="I22" s="38">
        <f t="shared" si="0"/>
        <v>35</v>
      </c>
      <c r="J22" s="37">
        <f>MIN(VLOOKUP(B22,órabérek,2,FALSE),adatok!$B$5)</f>
        <v>35</v>
      </c>
      <c r="K22" s="37">
        <f>adatok!$B$5</f>
        <v>45</v>
      </c>
      <c r="L22" s="37">
        <f t="shared" si="4"/>
        <v>5880</v>
      </c>
      <c r="M22" s="38">
        <f t="shared" si="2"/>
        <v>3822</v>
      </c>
      <c r="N22" s="38">
        <f t="shared" si="3"/>
        <v>2058</v>
      </c>
      <c r="O22" s="38">
        <f t="shared" si="1"/>
        <v>1340</v>
      </c>
    </row>
    <row r="23" spans="1:15" ht="12.75" customHeight="1" x14ac:dyDescent="0.2">
      <c r="A23" s="216" t="s">
        <v>705</v>
      </c>
      <c r="B23" s="216" t="s">
        <v>186</v>
      </c>
      <c r="C23" s="216" t="s">
        <v>171</v>
      </c>
      <c r="D23" s="218">
        <v>14</v>
      </c>
      <c r="E23" s="218">
        <v>28</v>
      </c>
      <c r="F23" s="218">
        <v>13</v>
      </c>
      <c r="G23" s="218">
        <v>0</v>
      </c>
      <c r="H23" s="36">
        <f>adatok!$B$12*G23</f>
        <v>0</v>
      </c>
      <c r="I23" s="38">
        <f t="shared" si="0"/>
        <v>45</v>
      </c>
      <c r="J23" s="37">
        <f>MIN(VLOOKUP(B23,órabérek,2,FALSE),adatok!$B$5)</f>
        <v>45</v>
      </c>
      <c r="K23" s="37">
        <f>adatok!$B$5</f>
        <v>45</v>
      </c>
      <c r="L23" s="37">
        <f t="shared" si="4"/>
        <v>2700</v>
      </c>
      <c r="M23" s="38">
        <f t="shared" si="2"/>
        <v>1755</v>
      </c>
      <c r="N23" s="38">
        <f t="shared" si="3"/>
        <v>945</v>
      </c>
      <c r="O23" s="38">
        <f t="shared" si="1"/>
        <v>615</v>
      </c>
    </row>
    <row r="24" spans="1:15" ht="12.75" customHeight="1" x14ac:dyDescent="0.2">
      <c r="A24" s="216"/>
      <c r="B24" s="216"/>
      <c r="C24" s="216"/>
      <c r="D24" s="218"/>
      <c r="E24" s="218"/>
      <c r="F24" s="218"/>
      <c r="G24" s="218"/>
      <c r="H24" s="36">
        <f>adatok!$B$12*G24</f>
        <v>0</v>
      </c>
      <c r="I24" s="38">
        <f t="shared" si="0"/>
        <v>0</v>
      </c>
      <c r="J24" s="37">
        <f>MIN(VLOOKUP(B24,órabérek,2,FALSE),adatok!$B$5)</f>
        <v>0</v>
      </c>
      <c r="K24" s="37">
        <f>adatok!$B$5</f>
        <v>45</v>
      </c>
      <c r="L24" s="37">
        <f t="shared" si="4"/>
        <v>0</v>
      </c>
      <c r="M24" s="38">
        <f t="shared" si="2"/>
        <v>0</v>
      </c>
      <c r="N24" s="38">
        <f t="shared" si="3"/>
        <v>0</v>
      </c>
      <c r="O24" s="38">
        <f t="shared" si="1"/>
        <v>0</v>
      </c>
    </row>
    <row r="25" spans="1:15" ht="12.75" customHeight="1" x14ac:dyDescent="0.2">
      <c r="A25" s="216"/>
      <c r="B25" s="216"/>
      <c r="C25" s="216"/>
      <c r="D25" s="218"/>
      <c r="E25" s="218"/>
      <c r="F25" s="218"/>
      <c r="G25" s="218"/>
      <c r="H25" s="36">
        <f>adatok!$B$12*G25</f>
        <v>0</v>
      </c>
      <c r="I25" s="38">
        <f t="shared" si="0"/>
        <v>0</v>
      </c>
      <c r="J25" s="37">
        <f>MIN(VLOOKUP(B25,órabérek,2,FALSE),adatok!$B$5)</f>
        <v>0</v>
      </c>
      <c r="K25" s="37">
        <f>adatok!$B$5</f>
        <v>45</v>
      </c>
      <c r="L25" s="37">
        <f t="shared" si="4"/>
        <v>0</v>
      </c>
      <c r="M25" s="38">
        <f t="shared" si="2"/>
        <v>0</v>
      </c>
      <c r="N25" s="38">
        <f t="shared" si="3"/>
        <v>0</v>
      </c>
      <c r="O25" s="38">
        <f t="shared" si="1"/>
        <v>0</v>
      </c>
    </row>
    <row r="26" spans="1:15" ht="12.75" customHeight="1" x14ac:dyDescent="0.2">
      <c r="A26" s="216"/>
      <c r="B26" s="216"/>
      <c r="C26" s="216"/>
      <c r="D26" s="218"/>
      <c r="E26" s="218"/>
      <c r="F26" s="218"/>
      <c r="G26" s="218"/>
      <c r="H26" s="36">
        <f>adatok!$B$12*G26</f>
        <v>0</v>
      </c>
      <c r="I26" s="38">
        <f t="shared" si="0"/>
        <v>0</v>
      </c>
      <c r="J26" s="37">
        <f>MIN(VLOOKUP(B26,órabérek,2,FALSE),adatok!$B$5)</f>
        <v>0</v>
      </c>
      <c r="K26" s="37">
        <f>adatok!$B$5</f>
        <v>45</v>
      </c>
      <c r="L26" s="37">
        <f t="shared" si="4"/>
        <v>0</v>
      </c>
      <c r="M26" s="38">
        <f t="shared" si="2"/>
        <v>0</v>
      </c>
      <c r="N26" s="38">
        <f t="shared" si="3"/>
        <v>0</v>
      </c>
      <c r="O26" s="38">
        <f t="shared" si="1"/>
        <v>0</v>
      </c>
    </row>
    <row r="27" spans="1:15" ht="12.75" customHeight="1" x14ac:dyDescent="0.2">
      <c r="A27" s="216"/>
      <c r="B27" s="216"/>
      <c r="C27" s="216"/>
      <c r="D27" s="218"/>
      <c r="E27" s="218"/>
      <c r="F27" s="218"/>
      <c r="G27" s="218"/>
      <c r="H27" s="36">
        <f>adatok!$B$12*G27</f>
        <v>0</v>
      </c>
      <c r="I27" s="38">
        <f t="shared" si="0"/>
        <v>0</v>
      </c>
      <c r="J27" s="37">
        <f>MIN(VLOOKUP(B27,órabérek,2,FALSE),adatok!$B$5)</f>
        <v>0</v>
      </c>
      <c r="K27" s="37">
        <f>adatok!$B$5</f>
        <v>45</v>
      </c>
      <c r="L27" s="37">
        <f t="shared" si="4"/>
        <v>0</v>
      </c>
      <c r="M27" s="38">
        <f t="shared" si="2"/>
        <v>0</v>
      </c>
      <c r="N27" s="38">
        <f t="shared" si="3"/>
        <v>0</v>
      </c>
      <c r="O27" s="38">
        <f t="shared" si="1"/>
        <v>0</v>
      </c>
    </row>
    <row r="28" spans="1:15" ht="12.75" customHeight="1" x14ac:dyDescent="0.2">
      <c r="A28" s="216"/>
      <c r="B28" s="216"/>
      <c r="C28" s="216"/>
      <c r="D28" s="218"/>
      <c r="E28" s="218"/>
      <c r="F28" s="218"/>
      <c r="G28" s="218"/>
      <c r="H28" s="36">
        <f>adatok!$B$12*G28</f>
        <v>0</v>
      </c>
      <c r="I28" s="38">
        <f t="shared" si="0"/>
        <v>0</v>
      </c>
      <c r="J28" s="37">
        <f>MIN(VLOOKUP(B28,órabérek,2,FALSE),adatok!$B$5)</f>
        <v>0</v>
      </c>
      <c r="K28" s="37">
        <f>adatok!$B$5</f>
        <v>45</v>
      </c>
      <c r="L28" s="37">
        <f t="shared" si="4"/>
        <v>0</v>
      </c>
      <c r="M28" s="38">
        <f t="shared" si="2"/>
        <v>0</v>
      </c>
      <c r="N28" s="38">
        <f t="shared" si="3"/>
        <v>0</v>
      </c>
      <c r="O28" s="38">
        <f t="shared" si="1"/>
        <v>0</v>
      </c>
    </row>
    <row r="29" spans="1:15" ht="12.75" customHeight="1" x14ac:dyDescent="0.2">
      <c r="A29" s="216"/>
      <c r="B29" s="216"/>
      <c r="C29" s="216"/>
      <c r="D29" s="218"/>
      <c r="E29" s="218"/>
      <c r="F29" s="218"/>
      <c r="G29" s="218"/>
      <c r="H29" s="36">
        <f>adatok!$B$12*G29</f>
        <v>0</v>
      </c>
      <c r="I29" s="38">
        <f t="shared" si="0"/>
        <v>0</v>
      </c>
      <c r="J29" s="37">
        <f>MIN(VLOOKUP(B29,órabérek,2,FALSE),adatok!$B$5)</f>
        <v>0</v>
      </c>
      <c r="K29" s="37">
        <f>adatok!$B$5</f>
        <v>45</v>
      </c>
      <c r="L29" s="37">
        <f t="shared" si="4"/>
        <v>0</v>
      </c>
      <c r="M29" s="38">
        <f t="shared" si="2"/>
        <v>0</v>
      </c>
      <c r="N29" s="38">
        <f t="shared" si="3"/>
        <v>0</v>
      </c>
      <c r="O29" s="38">
        <f t="shared" si="1"/>
        <v>0</v>
      </c>
    </row>
    <row r="30" spans="1:15" ht="12.75" customHeight="1" x14ac:dyDescent="0.2">
      <c r="A30" s="216"/>
      <c r="B30" s="216"/>
      <c r="C30" s="216"/>
      <c r="D30" s="218"/>
      <c r="E30" s="218"/>
      <c r="F30" s="218"/>
      <c r="G30" s="218"/>
      <c r="H30" s="36">
        <f>adatok!$B$12*G30</f>
        <v>0</v>
      </c>
      <c r="I30" s="38">
        <f t="shared" si="0"/>
        <v>0</v>
      </c>
      <c r="J30" s="37">
        <f>MIN(VLOOKUP(B30,órabérek,2,FALSE),adatok!$B$5)</f>
        <v>0</v>
      </c>
      <c r="K30" s="37">
        <f>adatok!$B$5</f>
        <v>45</v>
      </c>
      <c r="L30" s="37">
        <f t="shared" si="4"/>
        <v>0</v>
      </c>
      <c r="M30" s="38">
        <f t="shared" si="2"/>
        <v>0</v>
      </c>
      <c r="N30" s="38">
        <f t="shared" si="3"/>
        <v>0</v>
      </c>
      <c r="O30" s="38">
        <f t="shared" si="1"/>
        <v>0</v>
      </c>
    </row>
    <row r="31" spans="1:15" ht="12.75" customHeight="1" x14ac:dyDescent="0.2">
      <c r="A31" s="216"/>
      <c r="B31" s="216"/>
      <c r="C31" s="216"/>
      <c r="D31" s="218"/>
      <c r="E31" s="218"/>
      <c r="F31" s="218"/>
      <c r="G31" s="218"/>
      <c r="H31" s="36">
        <f>adatok!$B$12*G31</f>
        <v>0</v>
      </c>
      <c r="I31" s="38">
        <f t="shared" si="0"/>
        <v>0</v>
      </c>
      <c r="J31" s="37">
        <f>MIN(VLOOKUP(B31,órabérek,2,FALSE),adatok!$B$5)</f>
        <v>0</v>
      </c>
      <c r="K31" s="37">
        <f>adatok!$B$5</f>
        <v>45</v>
      </c>
      <c r="L31" s="37">
        <f t="shared" si="4"/>
        <v>0</v>
      </c>
      <c r="M31" s="38">
        <f t="shared" si="2"/>
        <v>0</v>
      </c>
      <c r="N31" s="38">
        <f t="shared" si="3"/>
        <v>0</v>
      </c>
      <c r="O31" s="38">
        <f t="shared" si="1"/>
        <v>0</v>
      </c>
    </row>
    <row r="32" spans="1:15" ht="12.75" customHeight="1" x14ac:dyDescent="0.2">
      <c r="A32" s="216"/>
      <c r="B32" s="216"/>
      <c r="C32" s="216"/>
      <c r="D32" s="218"/>
      <c r="E32" s="218"/>
      <c r="F32" s="218"/>
      <c r="G32" s="218"/>
      <c r="H32" s="36">
        <f>adatok!$B$12*G32</f>
        <v>0</v>
      </c>
      <c r="I32" s="38">
        <f t="shared" si="0"/>
        <v>0</v>
      </c>
      <c r="J32" s="37">
        <f>MIN(VLOOKUP(B32,órabérek,2,FALSE),adatok!$B$5)</f>
        <v>0</v>
      </c>
      <c r="K32" s="37">
        <f>adatok!$B$5</f>
        <v>45</v>
      </c>
      <c r="L32" s="37">
        <f t="shared" si="4"/>
        <v>0</v>
      </c>
      <c r="M32" s="38">
        <f t="shared" si="2"/>
        <v>0</v>
      </c>
      <c r="N32" s="38">
        <f t="shared" si="3"/>
        <v>0</v>
      </c>
      <c r="O32" s="38">
        <f t="shared" si="1"/>
        <v>0</v>
      </c>
    </row>
    <row r="33" spans="1:15" ht="12.75" customHeight="1" x14ac:dyDescent="0.2">
      <c r="A33" s="216"/>
      <c r="B33" s="216"/>
      <c r="C33" s="216"/>
      <c r="D33" s="218"/>
      <c r="E33" s="218"/>
      <c r="F33" s="218"/>
      <c r="G33" s="218"/>
      <c r="H33" s="36">
        <f>adatok!$B$12*G33</f>
        <v>0</v>
      </c>
      <c r="I33" s="38">
        <f t="shared" si="0"/>
        <v>0</v>
      </c>
      <c r="J33" s="37">
        <f>MIN(VLOOKUP(B33,órabérek,2,FALSE),adatok!$B$5)</f>
        <v>0</v>
      </c>
      <c r="K33" s="37">
        <f>adatok!$B$5</f>
        <v>45</v>
      </c>
      <c r="L33" s="37">
        <f t="shared" si="4"/>
        <v>0</v>
      </c>
      <c r="M33" s="38">
        <f t="shared" si="2"/>
        <v>0</v>
      </c>
      <c r="N33" s="38">
        <f t="shared" si="3"/>
        <v>0</v>
      </c>
      <c r="O33" s="38">
        <f t="shared" si="1"/>
        <v>0</v>
      </c>
    </row>
    <row r="34" spans="1:15" ht="12.75" customHeight="1" x14ac:dyDescent="0.2">
      <c r="A34" s="216"/>
      <c r="B34" s="216"/>
      <c r="C34" s="216"/>
      <c r="D34" s="218"/>
      <c r="E34" s="218"/>
      <c r="F34" s="218"/>
      <c r="G34" s="218"/>
      <c r="H34" s="36">
        <f>adatok!$B$12*G34</f>
        <v>0</v>
      </c>
      <c r="I34" s="38">
        <f t="shared" si="0"/>
        <v>0</v>
      </c>
      <c r="J34" s="37">
        <f>MIN(VLOOKUP(B34,órabérek,2,FALSE),adatok!$B$5)</f>
        <v>0</v>
      </c>
      <c r="K34" s="37">
        <f>adatok!$B$5</f>
        <v>45</v>
      </c>
      <c r="L34" s="37">
        <f t="shared" si="4"/>
        <v>0</v>
      </c>
      <c r="M34" s="38">
        <f t="shared" si="2"/>
        <v>0</v>
      </c>
      <c r="N34" s="38">
        <f t="shared" si="3"/>
        <v>0</v>
      </c>
      <c r="O34" s="38">
        <f t="shared" si="1"/>
        <v>0</v>
      </c>
    </row>
    <row r="35" spans="1:15" ht="12.75" customHeight="1" x14ac:dyDescent="0.2">
      <c r="A35" s="216"/>
      <c r="B35" s="216"/>
      <c r="C35" s="216"/>
      <c r="D35" s="218"/>
      <c r="E35" s="218"/>
      <c r="F35" s="218"/>
      <c r="G35" s="218"/>
      <c r="H35" s="36">
        <f>adatok!$B$12*G35</f>
        <v>0</v>
      </c>
      <c r="I35" s="38">
        <f t="shared" si="0"/>
        <v>0</v>
      </c>
      <c r="J35" s="37">
        <f>MIN(VLOOKUP(B35,órabérek,2,FALSE),adatok!$B$5)</f>
        <v>0</v>
      </c>
      <c r="K35" s="37">
        <f>adatok!$B$5</f>
        <v>45</v>
      </c>
      <c r="L35" s="37">
        <f t="shared" si="4"/>
        <v>0</v>
      </c>
      <c r="M35" s="38">
        <f t="shared" si="2"/>
        <v>0</v>
      </c>
      <c r="N35" s="38">
        <f t="shared" si="3"/>
        <v>0</v>
      </c>
      <c r="O35" s="38">
        <f t="shared" si="1"/>
        <v>0</v>
      </c>
    </row>
    <row r="36" spans="1:15" ht="12.75" customHeight="1" x14ac:dyDescent="0.2">
      <c r="A36" s="216"/>
      <c r="B36" s="216"/>
      <c r="C36" s="216"/>
      <c r="D36" s="218"/>
      <c r="E36" s="218"/>
      <c r="F36" s="218"/>
      <c r="G36" s="218"/>
      <c r="H36" s="36">
        <f>adatok!$B$12*G36</f>
        <v>0</v>
      </c>
      <c r="I36" s="38">
        <f t="shared" si="0"/>
        <v>0</v>
      </c>
      <c r="J36" s="37">
        <f>MIN(VLOOKUP(B36,órabérek,2,FALSE),adatok!$B$5)</f>
        <v>0</v>
      </c>
      <c r="K36" s="37">
        <f>adatok!$B$5</f>
        <v>45</v>
      </c>
      <c r="L36" s="37">
        <f t="shared" si="4"/>
        <v>0</v>
      </c>
      <c r="M36" s="38">
        <f t="shared" si="2"/>
        <v>0</v>
      </c>
      <c r="N36" s="38">
        <f t="shared" si="3"/>
        <v>0</v>
      </c>
      <c r="O36" s="38">
        <f t="shared" si="1"/>
        <v>0</v>
      </c>
    </row>
    <row r="37" spans="1:15" ht="12.75" customHeight="1" x14ac:dyDescent="0.2">
      <c r="A37" s="216"/>
      <c r="B37" s="216"/>
      <c r="C37" s="216"/>
      <c r="D37" s="218"/>
      <c r="E37" s="218"/>
      <c r="F37" s="218"/>
      <c r="G37" s="218"/>
      <c r="H37" s="36">
        <f>adatok!$B$12*G37</f>
        <v>0</v>
      </c>
      <c r="I37" s="38">
        <f t="shared" si="0"/>
        <v>0</v>
      </c>
      <c r="J37" s="37">
        <f>MIN(VLOOKUP(B37,órabérek,2,FALSE),adatok!$B$5)</f>
        <v>0</v>
      </c>
      <c r="K37" s="37">
        <f>adatok!$B$5</f>
        <v>45</v>
      </c>
      <c r="L37" s="37">
        <f t="shared" si="4"/>
        <v>0</v>
      </c>
      <c r="M37" s="38">
        <f t="shared" si="2"/>
        <v>0</v>
      </c>
      <c r="N37" s="38">
        <f t="shared" si="3"/>
        <v>0</v>
      </c>
      <c r="O37" s="38">
        <f t="shared" si="1"/>
        <v>0</v>
      </c>
    </row>
    <row r="38" spans="1:15" ht="12.75" customHeight="1" x14ac:dyDescent="0.2">
      <c r="A38" s="216"/>
      <c r="B38" s="216"/>
      <c r="C38" s="216"/>
      <c r="D38" s="218"/>
      <c r="E38" s="218"/>
      <c r="F38" s="218"/>
      <c r="G38" s="218"/>
      <c r="H38" s="36">
        <f>adatok!$B$12*G38</f>
        <v>0</v>
      </c>
      <c r="I38" s="38">
        <f t="shared" si="0"/>
        <v>0</v>
      </c>
      <c r="J38" s="37">
        <f>MIN(VLOOKUP(B38,órabérek,2,FALSE),adatok!$B$5)</f>
        <v>0</v>
      </c>
      <c r="K38" s="37">
        <f>adatok!$B$5</f>
        <v>45</v>
      </c>
      <c r="L38" s="37">
        <f t="shared" si="4"/>
        <v>0</v>
      </c>
      <c r="M38" s="38">
        <f t="shared" si="2"/>
        <v>0</v>
      </c>
      <c r="N38" s="38">
        <f t="shared" si="3"/>
        <v>0</v>
      </c>
      <c r="O38" s="38">
        <f t="shared" si="1"/>
        <v>0</v>
      </c>
    </row>
    <row r="39" spans="1:15" ht="12.75" customHeight="1" x14ac:dyDescent="0.2">
      <c r="A39" s="216"/>
      <c r="B39" s="216"/>
      <c r="C39" s="216"/>
      <c r="D39" s="218"/>
      <c r="E39" s="218"/>
      <c r="F39" s="218"/>
      <c r="G39" s="218"/>
      <c r="H39" s="36">
        <f>adatok!$B$12*G39</f>
        <v>0</v>
      </c>
      <c r="I39" s="38">
        <f t="shared" si="0"/>
        <v>0</v>
      </c>
      <c r="J39" s="37">
        <f>MIN(VLOOKUP(B39,órabérek,2,FALSE),adatok!$B$5)</f>
        <v>0</v>
      </c>
      <c r="K39" s="37">
        <f>adatok!$B$5</f>
        <v>45</v>
      </c>
      <c r="L39" s="37">
        <f t="shared" si="4"/>
        <v>0</v>
      </c>
      <c r="M39" s="38">
        <f t="shared" si="2"/>
        <v>0</v>
      </c>
      <c r="N39" s="38">
        <f t="shared" si="3"/>
        <v>0</v>
      </c>
      <c r="O39" s="38">
        <f t="shared" si="1"/>
        <v>0</v>
      </c>
    </row>
    <row r="40" spans="1:15" ht="12.75" customHeight="1" x14ac:dyDescent="0.2">
      <c r="A40" s="216"/>
      <c r="B40" s="216"/>
      <c r="C40" s="216"/>
      <c r="D40" s="218"/>
      <c r="E40" s="218"/>
      <c r="F40" s="218"/>
      <c r="G40" s="218"/>
      <c r="H40" s="36">
        <f>adatok!$B$12*G40</f>
        <v>0</v>
      </c>
      <c r="I40" s="38">
        <f t="shared" si="0"/>
        <v>0</v>
      </c>
      <c r="J40" s="37">
        <f>MIN(VLOOKUP(B40,órabérek,2,FALSE),adatok!$B$5)</f>
        <v>0</v>
      </c>
      <c r="K40" s="37">
        <f>adatok!$B$5</f>
        <v>45</v>
      </c>
      <c r="L40" s="37">
        <f t="shared" si="4"/>
        <v>0</v>
      </c>
      <c r="M40" s="38">
        <f t="shared" si="2"/>
        <v>0</v>
      </c>
      <c r="N40" s="38">
        <f t="shared" si="3"/>
        <v>0</v>
      </c>
      <c r="O40" s="38">
        <f t="shared" si="1"/>
        <v>0</v>
      </c>
    </row>
    <row r="41" spans="1:15" ht="12.75" customHeight="1" x14ac:dyDescent="0.2">
      <c r="A41" s="216"/>
      <c r="B41" s="216"/>
      <c r="C41" s="216"/>
      <c r="D41" s="218"/>
      <c r="E41" s="218"/>
      <c r="F41" s="218"/>
      <c r="G41" s="218"/>
      <c r="H41" s="36">
        <f>adatok!$B$12*G41</f>
        <v>0</v>
      </c>
      <c r="I41" s="38">
        <f t="shared" si="0"/>
        <v>0</v>
      </c>
      <c r="J41" s="37">
        <f>MIN(VLOOKUP(B41,órabérek,2,FALSE),adatok!$B$5)</f>
        <v>0</v>
      </c>
      <c r="K41" s="37">
        <f>adatok!$B$5</f>
        <v>45</v>
      </c>
      <c r="L41" s="37">
        <f t="shared" si="4"/>
        <v>0</v>
      </c>
      <c r="M41" s="38">
        <f t="shared" si="2"/>
        <v>0</v>
      </c>
      <c r="N41" s="38">
        <f t="shared" si="3"/>
        <v>0</v>
      </c>
      <c r="O41" s="38">
        <f t="shared" si="1"/>
        <v>0</v>
      </c>
    </row>
    <row r="42" spans="1:15" ht="12.75" customHeight="1" x14ac:dyDescent="0.2">
      <c r="A42" s="216"/>
      <c r="B42" s="216"/>
      <c r="C42" s="216"/>
      <c r="D42" s="218"/>
      <c r="E42" s="218"/>
      <c r="F42" s="218"/>
      <c r="G42" s="218"/>
      <c r="H42" s="36">
        <f>adatok!$B$12*G42</f>
        <v>0</v>
      </c>
      <c r="I42" s="38">
        <f t="shared" si="0"/>
        <v>0</v>
      </c>
      <c r="J42" s="37">
        <f>MIN(VLOOKUP(B42,órabérek,2,FALSE),adatok!$B$5)</f>
        <v>0</v>
      </c>
      <c r="K42" s="37">
        <f>adatok!$B$5</f>
        <v>45</v>
      </c>
      <c r="L42" s="37">
        <f t="shared" si="4"/>
        <v>0</v>
      </c>
      <c r="M42" s="38">
        <f t="shared" si="2"/>
        <v>0</v>
      </c>
      <c r="N42" s="38">
        <f t="shared" si="3"/>
        <v>0</v>
      </c>
      <c r="O42" s="38">
        <f t="shared" si="1"/>
        <v>0</v>
      </c>
    </row>
    <row r="43" spans="1:15" ht="12.75" customHeight="1" x14ac:dyDescent="0.2">
      <c r="A43" s="216"/>
      <c r="B43" s="216"/>
      <c r="C43" s="216"/>
      <c r="D43" s="218"/>
      <c r="E43" s="218"/>
      <c r="F43" s="218"/>
      <c r="G43" s="218"/>
      <c r="H43" s="36">
        <f>adatok!$B$12*G43</f>
        <v>0</v>
      </c>
      <c r="I43" s="38">
        <f t="shared" si="0"/>
        <v>0</v>
      </c>
      <c r="J43" s="37">
        <f>MIN(VLOOKUP(B43,órabérek,2,FALSE),adatok!$B$5)</f>
        <v>0</v>
      </c>
      <c r="K43" s="37">
        <f>adatok!$B$5</f>
        <v>45</v>
      </c>
      <c r="L43" s="37">
        <f t="shared" si="4"/>
        <v>0</v>
      </c>
      <c r="M43" s="38">
        <f t="shared" si="2"/>
        <v>0</v>
      </c>
      <c r="N43" s="38">
        <f t="shared" si="3"/>
        <v>0</v>
      </c>
      <c r="O43" s="38">
        <f t="shared" si="1"/>
        <v>0</v>
      </c>
    </row>
    <row r="44" spans="1:15" ht="12.75" customHeight="1" x14ac:dyDescent="0.2">
      <c r="A44" s="216"/>
      <c r="B44" s="216"/>
      <c r="C44" s="216"/>
      <c r="D44" s="218"/>
      <c r="E44" s="218"/>
      <c r="F44" s="218"/>
      <c r="G44" s="218"/>
      <c r="H44" s="36">
        <f>adatok!$B$12*G44</f>
        <v>0</v>
      </c>
      <c r="I44" s="38">
        <f t="shared" si="0"/>
        <v>0</v>
      </c>
      <c r="J44" s="37">
        <f>MIN(VLOOKUP(B44,órabérek,2,FALSE),adatok!$B$5)</f>
        <v>0</v>
      </c>
      <c r="K44" s="37">
        <f>adatok!$B$5</f>
        <v>45</v>
      </c>
      <c r="L44" s="37">
        <f t="shared" si="4"/>
        <v>0</v>
      </c>
      <c r="M44" s="38">
        <f t="shared" si="2"/>
        <v>0</v>
      </c>
      <c r="N44" s="38">
        <f t="shared" si="3"/>
        <v>0</v>
      </c>
      <c r="O44" s="38">
        <f t="shared" si="1"/>
        <v>0</v>
      </c>
    </row>
    <row r="45" spans="1:15" ht="12.75" customHeight="1" x14ac:dyDescent="0.2">
      <c r="A45" s="216"/>
      <c r="B45" s="216"/>
      <c r="C45" s="216"/>
      <c r="D45" s="218"/>
      <c r="E45" s="218"/>
      <c r="F45" s="218"/>
      <c r="G45" s="218"/>
      <c r="H45" s="36">
        <f>adatok!$B$12*G45</f>
        <v>0</v>
      </c>
      <c r="I45" s="38">
        <f t="shared" si="0"/>
        <v>0</v>
      </c>
      <c r="J45" s="37">
        <f>MIN(VLOOKUP(B45,órabérek,2,FALSE),adatok!$B$5)</f>
        <v>0</v>
      </c>
      <c r="K45" s="37">
        <f>adatok!$B$5</f>
        <v>45</v>
      </c>
      <c r="L45" s="37">
        <f t="shared" si="4"/>
        <v>0</v>
      </c>
      <c r="M45" s="38">
        <f t="shared" si="2"/>
        <v>0</v>
      </c>
      <c r="N45" s="38">
        <f t="shared" si="3"/>
        <v>0</v>
      </c>
      <c r="O45" s="38">
        <f t="shared" si="1"/>
        <v>0</v>
      </c>
    </row>
    <row r="46" spans="1:15" ht="12.75" customHeight="1" x14ac:dyDescent="0.2">
      <c r="A46" s="216"/>
      <c r="B46" s="216"/>
      <c r="C46" s="216"/>
      <c r="D46" s="218"/>
      <c r="E46" s="218"/>
      <c r="F46" s="218"/>
      <c r="G46" s="218"/>
      <c r="H46" s="36">
        <f>adatok!$B$12*G46</f>
        <v>0</v>
      </c>
      <c r="I46" s="38">
        <f t="shared" si="0"/>
        <v>0</v>
      </c>
      <c r="J46" s="37">
        <f>MIN(VLOOKUP(B46,órabérek,2,FALSE),adatok!$B$5)</f>
        <v>0</v>
      </c>
      <c r="K46" s="37">
        <f>adatok!$B$5</f>
        <v>45</v>
      </c>
      <c r="L46" s="37">
        <f t="shared" si="4"/>
        <v>0</v>
      </c>
      <c r="M46" s="38">
        <f t="shared" si="2"/>
        <v>0</v>
      </c>
      <c r="N46" s="38">
        <f t="shared" si="3"/>
        <v>0</v>
      </c>
      <c r="O46" s="38">
        <f t="shared" si="1"/>
        <v>0</v>
      </c>
    </row>
    <row r="47" spans="1:15" ht="12.75" customHeight="1" x14ac:dyDescent="0.2">
      <c r="A47" s="216"/>
      <c r="B47" s="216"/>
      <c r="C47" s="216"/>
      <c r="D47" s="218"/>
      <c r="E47" s="218"/>
      <c r="F47" s="218"/>
      <c r="G47" s="218"/>
      <c r="H47" s="36">
        <f>adatok!$B$12*G47</f>
        <v>0</v>
      </c>
      <c r="I47" s="38">
        <f t="shared" si="0"/>
        <v>0</v>
      </c>
      <c r="J47" s="37">
        <f>MIN(VLOOKUP(B47,órabérek,2,FALSE),adatok!$B$5)</f>
        <v>0</v>
      </c>
      <c r="K47" s="37">
        <f>adatok!$B$5</f>
        <v>45</v>
      </c>
      <c r="L47" s="37">
        <f t="shared" si="4"/>
        <v>0</v>
      </c>
      <c r="M47" s="38">
        <f t="shared" si="2"/>
        <v>0</v>
      </c>
      <c r="N47" s="38">
        <f t="shared" si="3"/>
        <v>0</v>
      </c>
      <c r="O47" s="38">
        <f t="shared" si="1"/>
        <v>0</v>
      </c>
    </row>
    <row r="48" spans="1:15" ht="12.75" customHeight="1" x14ac:dyDescent="0.2">
      <c r="A48" s="216"/>
      <c r="B48" s="216"/>
      <c r="C48" s="216"/>
      <c r="D48" s="218"/>
      <c r="E48" s="218"/>
      <c r="F48" s="218"/>
      <c r="G48" s="218"/>
      <c r="H48" s="36">
        <f>adatok!$B$12*G48</f>
        <v>0</v>
      </c>
      <c r="I48" s="38">
        <f t="shared" si="0"/>
        <v>0</v>
      </c>
      <c r="J48" s="37">
        <f>MIN(VLOOKUP(B48,órabérek,2,FALSE),adatok!$B$5)</f>
        <v>0</v>
      </c>
      <c r="K48" s="37">
        <f>adatok!$B$5</f>
        <v>45</v>
      </c>
      <c r="L48" s="37">
        <f t="shared" si="4"/>
        <v>0</v>
      </c>
      <c r="M48" s="38">
        <f t="shared" si="2"/>
        <v>0</v>
      </c>
      <c r="N48" s="38">
        <f t="shared" si="3"/>
        <v>0</v>
      </c>
      <c r="O48" s="38">
        <f t="shared" si="1"/>
        <v>0</v>
      </c>
    </row>
    <row r="49" spans="1:15" ht="12.75" customHeight="1" x14ac:dyDescent="0.2">
      <c r="A49" s="216"/>
      <c r="B49" s="216"/>
      <c r="C49" s="216"/>
      <c r="D49" s="218"/>
      <c r="E49" s="218"/>
      <c r="F49" s="218"/>
      <c r="G49" s="218"/>
      <c r="H49" s="36">
        <f>adatok!$B$12*G49</f>
        <v>0</v>
      </c>
      <c r="I49" s="38">
        <f t="shared" si="0"/>
        <v>0</v>
      </c>
      <c r="J49" s="37">
        <f>MIN(VLOOKUP(B49,órabérek,2,FALSE),adatok!$B$5)</f>
        <v>0</v>
      </c>
      <c r="K49" s="37">
        <f>adatok!$B$5</f>
        <v>45</v>
      </c>
      <c r="L49" s="37">
        <f t="shared" si="4"/>
        <v>0</v>
      </c>
      <c r="M49" s="38">
        <f t="shared" si="2"/>
        <v>0</v>
      </c>
      <c r="N49" s="38">
        <f t="shared" si="3"/>
        <v>0</v>
      </c>
      <c r="O49" s="38">
        <f t="shared" si="1"/>
        <v>0</v>
      </c>
    </row>
    <row r="50" spans="1:15" ht="12.75" customHeight="1" x14ac:dyDescent="0.2">
      <c r="A50" s="216"/>
      <c r="B50" s="216"/>
      <c r="C50" s="216"/>
      <c r="D50" s="218"/>
      <c r="E50" s="218"/>
      <c r="F50" s="218"/>
      <c r="G50" s="218"/>
      <c r="H50" s="36">
        <f>adatok!$B$12*G50</f>
        <v>0</v>
      </c>
      <c r="I50" s="38">
        <f t="shared" si="0"/>
        <v>0</v>
      </c>
      <c r="J50" s="37">
        <f>MIN(VLOOKUP(B50,órabérek,2,FALSE),adatok!$B$5)</f>
        <v>0</v>
      </c>
      <c r="K50" s="37">
        <f>adatok!$B$5</f>
        <v>45</v>
      </c>
      <c r="L50" s="37">
        <f t="shared" si="4"/>
        <v>0</v>
      </c>
      <c r="M50" s="38">
        <f t="shared" si="2"/>
        <v>0</v>
      </c>
      <c r="N50" s="38">
        <f t="shared" si="3"/>
        <v>0</v>
      </c>
      <c r="O50" s="38">
        <f t="shared" si="1"/>
        <v>0</v>
      </c>
    </row>
    <row r="51" spans="1:15" ht="12.75" customHeight="1" x14ac:dyDescent="0.2">
      <c r="A51" s="216"/>
      <c r="B51" s="216"/>
      <c r="C51" s="216"/>
      <c r="D51" s="218"/>
      <c r="E51" s="218"/>
      <c r="F51" s="218"/>
      <c r="G51" s="218"/>
      <c r="H51" s="36">
        <f>adatok!$B$12*G51</f>
        <v>0</v>
      </c>
      <c r="I51" s="38">
        <f t="shared" si="0"/>
        <v>0</v>
      </c>
      <c r="J51" s="37">
        <f>MIN(VLOOKUP(B51,órabérek,2,FALSE),adatok!$B$5)</f>
        <v>0</v>
      </c>
      <c r="K51" s="37">
        <f>adatok!$B$5</f>
        <v>45</v>
      </c>
      <c r="L51" s="37">
        <f t="shared" si="4"/>
        <v>0</v>
      </c>
      <c r="M51" s="38">
        <f t="shared" si="2"/>
        <v>0</v>
      </c>
      <c r="N51" s="38">
        <f t="shared" si="3"/>
        <v>0</v>
      </c>
      <c r="O51" s="38">
        <f t="shared" si="1"/>
        <v>0</v>
      </c>
    </row>
    <row r="52" spans="1:15" ht="12.75" customHeight="1" x14ac:dyDescent="0.2">
      <c r="A52" s="216"/>
      <c r="B52" s="216"/>
      <c r="C52" s="216"/>
      <c r="D52" s="218"/>
      <c r="E52" s="218"/>
      <c r="F52" s="218"/>
      <c r="G52" s="218"/>
      <c r="H52" s="36">
        <f>adatok!$B$12*G52</f>
        <v>0</v>
      </c>
      <c r="I52" s="38">
        <f t="shared" si="0"/>
        <v>0</v>
      </c>
      <c r="J52" s="37">
        <f>MIN(VLOOKUP(B52,órabérek,2,FALSE),adatok!$B$5)</f>
        <v>0</v>
      </c>
      <c r="K52" s="37">
        <f>adatok!$B$5</f>
        <v>45</v>
      </c>
      <c r="L52" s="37">
        <f t="shared" si="4"/>
        <v>0</v>
      </c>
      <c r="M52" s="38">
        <f t="shared" si="2"/>
        <v>0</v>
      </c>
      <c r="N52" s="38">
        <f t="shared" si="3"/>
        <v>0</v>
      </c>
      <c r="O52" s="38">
        <f t="shared" si="1"/>
        <v>0</v>
      </c>
    </row>
    <row r="53" spans="1:15" ht="12.75" customHeight="1" x14ac:dyDescent="0.2">
      <c r="A53" s="216"/>
      <c r="B53" s="216"/>
      <c r="C53" s="216"/>
      <c r="D53" s="218"/>
      <c r="E53" s="218"/>
      <c r="F53" s="218"/>
      <c r="G53" s="218"/>
      <c r="H53" s="36">
        <f>adatok!$B$12*G53</f>
        <v>0</v>
      </c>
      <c r="I53" s="38">
        <f t="shared" si="0"/>
        <v>0</v>
      </c>
      <c r="J53" s="37">
        <f>MIN(VLOOKUP(B53,órabérek,2,FALSE),adatok!$B$5)</f>
        <v>0</v>
      </c>
      <c r="K53" s="37">
        <f>adatok!$B$5</f>
        <v>45</v>
      </c>
      <c r="L53" s="37">
        <f t="shared" si="4"/>
        <v>0</v>
      </c>
      <c r="M53" s="38">
        <f t="shared" si="2"/>
        <v>0</v>
      </c>
      <c r="N53" s="38">
        <f t="shared" si="3"/>
        <v>0</v>
      </c>
      <c r="O53" s="38">
        <f t="shared" si="1"/>
        <v>0</v>
      </c>
    </row>
    <row r="54" spans="1:15" ht="12.75" customHeight="1" x14ac:dyDescent="0.2">
      <c r="A54" s="216"/>
      <c r="B54" s="216"/>
      <c r="C54" s="216"/>
      <c r="D54" s="218"/>
      <c r="E54" s="218"/>
      <c r="F54" s="218"/>
      <c r="G54" s="218"/>
      <c r="H54" s="36">
        <f>adatok!$B$12*G54</f>
        <v>0</v>
      </c>
      <c r="I54" s="38">
        <f t="shared" si="0"/>
        <v>0</v>
      </c>
      <c r="J54" s="37">
        <f>MIN(VLOOKUP(B54,órabérek,2,FALSE),adatok!$B$5)</f>
        <v>0</v>
      </c>
      <c r="K54" s="37">
        <f>adatok!$B$5</f>
        <v>45</v>
      </c>
      <c r="L54" s="37">
        <f t="shared" si="4"/>
        <v>0</v>
      </c>
      <c r="M54" s="38">
        <f t="shared" si="2"/>
        <v>0</v>
      </c>
      <c r="N54" s="38">
        <f t="shared" si="3"/>
        <v>0</v>
      </c>
      <c r="O54" s="38">
        <f t="shared" si="1"/>
        <v>0</v>
      </c>
    </row>
    <row r="55" spans="1:15" ht="12.75" customHeight="1" x14ac:dyDescent="0.2">
      <c r="A55" s="216"/>
      <c r="B55" s="216"/>
      <c r="C55" s="216"/>
      <c r="D55" s="218"/>
      <c r="E55" s="218"/>
      <c r="F55" s="218"/>
      <c r="G55" s="218"/>
      <c r="H55" s="36">
        <f>adatok!$B$12*G55</f>
        <v>0</v>
      </c>
      <c r="I55" s="38">
        <f t="shared" si="0"/>
        <v>0</v>
      </c>
      <c r="J55" s="37">
        <f>MIN(VLOOKUP(B55,órabérek,2,FALSE),adatok!$B$5)</f>
        <v>0</v>
      </c>
      <c r="K55" s="37">
        <f>adatok!$B$5</f>
        <v>45</v>
      </c>
      <c r="L55" s="37">
        <f t="shared" si="4"/>
        <v>0</v>
      </c>
      <c r="M55" s="38">
        <f t="shared" si="2"/>
        <v>0</v>
      </c>
      <c r="N55" s="38">
        <f t="shared" si="3"/>
        <v>0</v>
      </c>
      <c r="O55" s="38">
        <f t="shared" si="1"/>
        <v>0</v>
      </c>
    </row>
    <row r="56" spans="1:15" ht="12.75" customHeight="1" x14ac:dyDescent="0.2">
      <c r="A56" s="216"/>
      <c r="B56" s="216"/>
      <c r="C56" s="216"/>
      <c r="D56" s="218"/>
      <c r="E56" s="218"/>
      <c r="F56" s="218"/>
      <c r="G56" s="218"/>
      <c r="H56" s="36">
        <f>adatok!$B$12*G56</f>
        <v>0</v>
      </c>
      <c r="I56" s="38">
        <f t="shared" si="0"/>
        <v>0</v>
      </c>
      <c r="J56" s="37">
        <f>MIN(VLOOKUP(B56,órabérek,2,FALSE),adatok!$B$5)</f>
        <v>0</v>
      </c>
      <c r="K56" s="37">
        <f>adatok!$B$5</f>
        <v>45</v>
      </c>
      <c r="L56" s="37">
        <f t="shared" si="4"/>
        <v>0</v>
      </c>
      <c r="M56" s="38">
        <f t="shared" si="2"/>
        <v>0</v>
      </c>
      <c r="N56" s="38">
        <f t="shared" si="3"/>
        <v>0</v>
      </c>
      <c r="O56" s="38">
        <f t="shared" si="1"/>
        <v>0</v>
      </c>
    </row>
    <row r="57" spans="1:15" ht="12.75" customHeight="1" x14ac:dyDescent="0.2">
      <c r="A57" s="216"/>
      <c r="B57" s="216"/>
      <c r="C57" s="216"/>
      <c r="D57" s="218"/>
      <c r="E57" s="218"/>
      <c r="F57" s="218"/>
      <c r="G57" s="218"/>
      <c r="H57" s="36">
        <f>adatok!$B$12*G57</f>
        <v>0</v>
      </c>
      <c r="I57" s="38">
        <f t="shared" si="0"/>
        <v>0</v>
      </c>
      <c r="J57" s="37">
        <f>MIN(VLOOKUP(B57,órabérek,2,FALSE),adatok!$B$5)</f>
        <v>0</v>
      </c>
      <c r="K57" s="37">
        <f>adatok!$B$5</f>
        <v>45</v>
      </c>
      <c r="L57" s="37">
        <f t="shared" si="4"/>
        <v>0</v>
      </c>
      <c r="M57" s="38">
        <f t="shared" si="2"/>
        <v>0</v>
      </c>
      <c r="N57" s="38">
        <f t="shared" si="3"/>
        <v>0</v>
      </c>
      <c r="O57" s="38">
        <f t="shared" si="1"/>
        <v>0</v>
      </c>
    </row>
    <row r="58" spans="1:15" ht="12.75" customHeight="1" x14ac:dyDescent="0.2">
      <c r="A58" s="216"/>
      <c r="B58" s="216"/>
      <c r="C58" s="216"/>
      <c r="D58" s="218"/>
      <c r="E58" s="218"/>
      <c r="F58" s="218"/>
      <c r="G58" s="218"/>
      <c r="H58" s="36">
        <f>adatok!$B$12*G58</f>
        <v>0</v>
      </c>
      <c r="I58" s="38">
        <f t="shared" si="0"/>
        <v>0</v>
      </c>
      <c r="J58" s="37">
        <f>MIN(VLOOKUP(B58,órabérek,2,FALSE),adatok!$B$5)</f>
        <v>0</v>
      </c>
      <c r="K58" s="37">
        <f>adatok!$B$5</f>
        <v>45</v>
      </c>
      <c r="L58" s="37">
        <f t="shared" si="4"/>
        <v>0</v>
      </c>
      <c r="M58" s="38">
        <f t="shared" si="2"/>
        <v>0</v>
      </c>
      <c r="N58" s="38">
        <f t="shared" si="3"/>
        <v>0</v>
      </c>
      <c r="O58" s="38">
        <f t="shared" si="1"/>
        <v>0</v>
      </c>
    </row>
    <row r="59" spans="1:15" ht="12.75" customHeight="1" x14ac:dyDescent="0.2">
      <c r="A59" s="216"/>
      <c r="B59" s="216"/>
      <c r="C59" s="216"/>
      <c r="D59" s="218"/>
      <c r="E59" s="218"/>
      <c r="F59" s="218"/>
      <c r="G59" s="218"/>
      <c r="H59" s="36">
        <f>adatok!$B$12*G59</f>
        <v>0</v>
      </c>
      <c r="I59" s="38">
        <f t="shared" si="0"/>
        <v>0</v>
      </c>
      <c r="J59" s="37">
        <f>MIN(VLOOKUP(B59,órabérek,2,FALSE),adatok!$B$5)</f>
        <v>0</v>
      </c>
      <c r="K59" s="37">
        <f>adatok!$B$5</f>
        <v>45</v>
      </c>
      <c r="L59" s="37">
        <f t="shared" si="4"/>
        <v>0</v>
      </c>
      <c r="M59" s="38">
        <f t="shared" si="2"/>
        <v>0</v>
      </c>
      <c r="N59" s="38">
        <f t="shared" si="3"/>
        <v>0</v>
      </c>
      <c r="O59" s="38">
        <f t="shared" si="1"/>
        <v>0</v>
      </c>
    </row>
    <row r="60" spans="1:15" ht="12.75" customHeight="1" x14ac:dyDescent="0.2">
      <c r="A60" s="216"/>
      <c r="B60" s="216"/>
      <c r="C60" s="216"/>
      <c r="D60" s="218"/>
      <c r="E60" s="218"/>
      <c r="F60" s="218"/>
      <c r="G60" s="218"/>
      <c r="H60" s="36">
        <f>adatok!$B$12*G60</f>
        <v>0</v>
      </c>
      <c r="I60" s="38">
        <f t="shared" si="0"/>
        <v>0</v>
      </c>
      <c r="J60" s="37">
        <f>MIN(VLOOKUP(B60,órabérek,2,FALSE),adatok!$B$5)</f>
        <v>0</v>
      </c>
      <c r="K60" s="37">
        <f>adatok!$B$5</f>
        <v>45</v>
      </c>
      <c r="L60" s="37">
        <f t="shared" si="4"/>
        <v>0</v>
      </c>
      <c r="M60" s="38">
        <f t="shared" si="2"/>
        <v>0</v>
      </c>
      <c r="N60" s="38">
        <f t="shared" si="3"/>
        <v>0</v>
      </c>
      <c r="O60" s="38">
        <f t="shared" si="1"/>
        <v>0</v>
      </c>
    </row>
    <row r="61" spans="1:15" ht="12.75" customHeight="1" x14ac:dyDescent="0.2">
      <c r="A61" s="216"/>
      <c r="B61" s="216"/>
      <c r="C61" s="216"/>
      <c r="D61" s="218"/>
      <c r="E61" s="218"/>
      <c r="F61" s="218"/>
      <c r="G61" s="218"/>
      <c r="H61" s="36">
        <f>adatok!$B$12*G61</f>
        <v>0</v>
      </c>
      <c r="I61" s="38">
        <f t="shared" si="0"/>
        <v>0</v>
      </c>
      <c r="J61" s="37">
        <f>MIN(VLOOKUP(B61,órabérek,2,FALSE),adatok!$B$5)</f>
        <v>0</v>
      </c>
      <c r="K61" s="37">
        <f>adatok!$B$5</f>
        <v>45</v>
      </c>
      <c r="L61" s="37">
        <f t="shared" si="4"/>
        <v>0</v>
      </c>
      <c r="M61" s="38">
        <f t="shared" si="2"/>
        <v>0</v>
      </c>
      <c r="N61" s="38">
        <f t="shared" si="3"/>
        <v>0</v>
      </c>
      <c r="O61" s="38">
        <f t="shared" si="1"/>
        <v>0</v>
      </c>
    </row>
    <row r="62" spans="1:15" ht="12.75" customHeight="1" x14ac:dyDescent="0.2">
      <c r="A62" s="216"/>
      <c r="B62" s="216"/>
      <c r="C62" s="216"/>
      <c r="D62" s="218"/>
      <c r="E62" s="218"/>
      <c r="F62" s="218"/>
      <c r="G62" s="218"/>
      <c r="H62" s="36">
        <f>adatok!$B$12*G62</f>
        <v>0</v>
      </c>
      <c r="I62" s="38">
        <f t="shared" si="0"/>
        <v>0</v>
      </c>
      <c r="J62" s="37">
        <f>MIN(VLOOKUP(B62,órabérek,2,FALSE),adatok!$B$5)</f>
        <v>0</v>
      </c>
      <c r="K62" s="37">
        <f>adatok!$B$5</f>
        <v>45</v>
      </c>
      <c r="L62" s="37">
        <f t="shared" si="4"/>
        <v>0</v>
      </c>
      <c r="M62" s="38">
        <f t="shared" si="2"/>
        <v>0</v>
      </c>
      <c r="N62" s="38">
        <f t="shared" si="3"/>
        <v>0</v>
      </c>
      <c r="O62" s="38">
        <f t="shared" si="1"/>
        <v>0</v>
      </c>
    </row>
    <row r="63" spans="1:15" ht="12.75" customHeight="1" x14ac:dyDescent="0.2">
      <c r="A63" s="216"/>
      <c r="B63" s="216"/>
      <c r="C63" s="216"/>
      <c r="D63" s="218"/>
      <c r="E63" s="218"/>
      <c r="F63" s="218"/>
      <c r="G63" s="218"/>
      <c r="H63" s="36">
        <f>adatok!$B$12*G63</f>
        <v>0</v>
      </c>
      <c r="I63" s="38">
        <f t="shared" si="0"/>
        <v>0</v>
      </c>
      <c r="J63" s="37">
        <f>MIN(VLOOKUP(B63,órabérek,2,FALSE),adatok!$B$5)</f>
        <v>0</v>
      </c>
      <c r="K63" s="37">
        <f>adatok!$B$5</f>
        <v>45</v>
      </c>
      <c r="L63" s="37">
        <f t="shared" si="4"/>
        <v>0</v>
      </c>
      <c r="M63" s="38">
        <f t="shared" si="2"/>
        <v>0</v>
      </c>
      <c r="N63" s="38">
        <f t="shared" si="3"/>
        <v>0</v>
      </c>
      <c r="O63" s="38">
        <f t="shared" si="1"/>
        <v>0</v>
      </c>
    </row>
    <row r="64" spans="1:15" ht="12.75" customHeight="1" x14ac:dyDescent="0.2">
      <c r="A64" s="216"/>
      <c r="B64" s="216"/>
      <c r="C64" s="216"/>
      <c r="D64" s="218"/>
      <c r="E64" s="218"/>
      <c r="F64" s="218"/>
      <c r="G64" s="218"/>
      <c r="H64" s="36">
        <f>adatok!$B$12*G64</f>
        <v>0</v>
      </c>
      <c r="I64" s="38">
        <f t="shared" si="0"/>
        <v>0</v>
      </c>
      <c r="J64" s="37">
        <f>MIN(VLOOKUP(B64,órabérek,2,FALSE),adatok!$B$5)</f>
        <v>0</v>
      </c>
      <c r="K64" s="37">
        <f>adatok!$B$5</f>
        <v>45</v>
      </c>
      <c r="L64" s="37">
        <f t="shared" si="4"/>
        <v>0</v>
      </c>
      <c r="M64" s="38">
        <f t="shared" si="2"/>
        <v>0</v>
      </c>
      <c r="N64" s="38">
        <f t="shared" si="3"/>
        <v>0</v>
      </c>
      <c r="O64" s="38">
        <f t="shared" si="1"/>
        <v>0</v>
      </c>
    </row>
    <row r="65" spans="1:15" ht="12.75" customHeight="1" x14ac:dyDescent="0.2">
      <c r="A65" s="216"/>
      <c r="B65" s="216"/>
      <c r="C65" s="216"/>
      <c r="D65" s="218"/>
      <c r="E65" s="218"/>
      <c r="F65" s="218"/>
      <c r="G65" s="218"/>
      <c r="H65" s="36">
        <f>adatok!$B$12*G65</f>
        <v>0</v>
      </c>
      <c r="I65" s="38">
        <f t="shared" si="0"/>
        <v>0</v>
      </c>
      <c r="J65" s="37">
        <f>MIN(VLOOKUP(B65,órabérek,2,FALSE),adatok!$B$5)</f>
        <v>0</v>
      </c>
      <c r="K65" s="37">
        <f>adatok!$B$5</f>
        <v>45</v>
      </c>
      <c r="L65" s="37">
        <f t="shared" si="4"/>
        <v>0</v>
      </c>
      <c r="M65" s="38">
        <f t="shared" si="2"/>
        <v>0</v>
      </c>
      <c r="N65" s="38">
        <f t="shared" si="3"/>
        <v>0</v>
      </c>
      <c r="O65" s="38">
        <f t="shared" si="1"/>
        <v>0</v>
      </c>
    </row>
    <row r="66" spans="1:15" ht="12.75" customHeight="1" x14ac:dyDescent="0.2">
      <c r="A66" s="216"/>
      <c r="B66" s="216"/>
      <c r="C66" s="216"/>
      <c r="D66" s="218"/>
      <c r="E66" s="218"/>
      <c r="F66" s="218"/>
      <c r="G66" s="218"/>
      <c r="H66" s="36">
        <f>adatok!$B$12*G66</f>
        <v>0</v>
      </c>
      <c r="I66" s="38">
        <f t="shared" si="0"/>
        <v>0</v>
      </c>
      <c r="J66" s="37">
        <f>MIN(VLOOKUP(B66,órabérek,2,FALSE),adatok!$B$5)</f>
        <v>0</v>
      </c>
      <c r="K66" s="37">
        <f>adatok!$B$5</f>
        <v>45</v>
      </c>
      <c r="L66" s="37">
        <f t="shared" si="4"/>
        <v>0</v>
      </c>
      <c r="M66" s="38">
        <f t="shared" si="2"/>
        <v>0</v>
      </c>
      <c r="N66" s="38">
        <f t="shared" si="3"/>
        <v>0</v>
      </c>
      <c r="O66" s="38">
        <f t="shared" si="1"/>
        <v>0</v>
      </c>
    </row>
    <row r="67" spans="1:15" ht="12.75" customHeight="1" x14ac:dyDescent="0.2">
      <c r="A67" s="216"/>
      <c r="B67" s="216"/>
      <c r="C67" s="216"/>
      <c r="D67" s="218"/>
      <c r="E67" s="218"/>
      <c r="F67" s="218"/>
      <c r="G67" s="218"/>
      <c r="H67" s="36">
        <f>adatok!$B$12*G67</f>
        <v>0</v>
      </c>
      <c r="I67" s="38">
        <f t="shared" si="0"/>
        <v>0</v>
      </c>
      <c r="J67" s="37">
        <f>MIN(VLOOKUP(B67,órabérek,2,FALSE),adatok!$B$5)</f>
        <v>0</v>
      </c>
      <c r="K67" s="37">
        <f>adatok!$B$5</f>
        <v>45</v>
      </c>
      <c r="L67" s="37">
        <f t="shared" si="4"/>
        <v>0</v>
      </c>
      <c r="M67" s="38">
        <f t="shared" si="2"/>
        <v>0</v>
      </c>
      <c r="N67" s="38">
        <f t="shared" si="3"/>
        <v>0</v>
      </c>
      <c r="O67" s="38">
        <f t="shared" si="1"/>
        <v>0</v>
      </c>
    </row>
    <row r="68" spans="1:15" ht="12.75" customHeight="1" x14ac:dyDescent="0.2">
      <c r="A68" s="216"/>
      <c r="B68" s="216"/>
      <c r="C68" s="216"/>
      <c r="D68" s="218"/>
      <c r="E68" s="218"/>
      <c r="F68" s="218"/>
      <c r="G68" s="218"/>
      <c r="H68" s="36">
        <f>adatok!$B$12*G68</f>
        <v>0</v>
      </c>
      <c r="I68" s="38">
        <f t="shared" si="0"/>
        <v>0</v>
      </c>
      <c r="J68" s="37">
        <f>MIN(VLOOKUP(B68,órabérek,2,FALSE),adatok!$B$5)</f>
        <v>0</v>
      </c>
      <c r="K68" s="37">
        <f>adatok!$B$5</f>
        <v>45</v>
      </c>
      <c r="L68" s="37">
        <f t="shared" si="4"/>
        <v>0</v>
      </c>
      <c r="M68" s="38">
        <f t="shared" si="2"/>
        <v>0</v>
      </c>
      <c r="N68" s="38">
        <f t="shared" si="3"/>
        <v>0</v>
      </c>
      <c r="O68" s="38">
        <f t="shared" si="1"/>
        <v>0</v>
      </c>
    </row>
    <row r="69" spans="1:15" ht="12.75" customHeight="1" x14ac:dyDescent="0.2">
      <c r="A69" s="166" t="s">
        <v>342</v>
      </c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</row>
    <row r="70" spans="1:15" ht="12.75" customHeight="1" x14ac:dyDescent="0.2">
      <c r="A70" s="216" t="s">
        <v>608</v>
      </c>
      <c r="B70" s="216" t="s">
        <v>183</v>
      </c>
      <c r="C70" s="216" t="s">
        <v>371</v>
      </c>
      <c r="D70" s="218"/>
      <c r="E70" s="165" t="s">
        <v>614</v>
      </c>
      <c r="F70" s="218"/>
      <c r="G70" s="218"/>
      <c r="H70" s="36">
        <f>adatok!$B$12*G70</f>
        <v>0</v>
      </c>
      <c r="I70" s="38">
        <f t="shared" si="0"/>
        <v>35</v>
      </c>
      <c r="J70" s="37">
        <f>MIN(VLOOKUP(B70,órabérek,2,FALSE),adatok!$B$5)</f>
        <v>35</v>
      </c>
      <c r="K70" s="37">
        <f>adatok!$B$5</f>
        <v>45</v>
      </c>
      <c r="L70" s="37">
        <f t="shared" si="4"/>
        <v>2730</v>
      </c>
      <c r="M70" s="38">
        <f t="shared" si="2"/>
        <v>1774</v>
      </c>
      <c r="N70" s="38">
        <f t="shared" si="3"/>
        <v>956</v>
      </c>
      <c r="O70" s="38">
        <f t="shared" si="1"/>
        <v>622</v>
      </c>
    </row>
    <row r="71" spans="1:15" ht="12.75" customHeight="1" x14ac:dyDescent="0.2">
      <c r="A71" s="216" t="s">
        <v>609</v>
      </c>
      <c r="B71" s="216" t="s">
        <v>183</v>
      </c>
      <c r="C71" s="259" t="s">
        <v>371</v>
      </c>
      <c r="D71" s="218"/>
      <c r="E71" s="218">
        <v>84</v>
      </c>
      <c r="F71" s="218"/>
      <c r="G71" s="218"/>
      <c r="H71" s="36">
        <f>adatok!$B$12*G71</f>
        <v>0</v>
      </c>
      <c r="I71" s="38">
        <f t="shared" si="0"/>
        <v>35</v>
      </c>
      <c r="J71" s="37">
        <f>MIN(VLOOKUP(B71,órabérek,2,FALSE),adatok!$B$5)</f>
        <v>35</v>
      </c>
      <c r="K71" s="37">
        <f>adatok!$B$5</f>
        <v>45</v>
      </c>
      <c r="L71" s="37">
        <f t="shared" si="4"/>
        <v>2940</v>
      </c>
      <c r="M71" s="38">
        <f t="shared" si="2"/>
        <v>1911</v>
      </c>
      <c r="N71" s="38">
        <f t="shared" si="3"/>
        <v>1029</v>
      </c>
      <c r="O71" s="38">
        <f t="shared" si="1"/>
        <v>670</v>
      </c>
    </row>
    <row r="72" spans="1:15" ht="12.75" customHeight="1" x14ac:dyDescent="0.2">
      <c r="A72" s="216" t="s">
        <v>610</v>
      </c>
      <c r="B72" s="216" t="s">
        <v>183</v>
      </c>
      <c r="C72" s="259" t="s">
        <v>371</v>
      </c>
      <c r="D72" s="218"/>
      <c r="E72" s="218">
        <v>280</v>
      </c>
      <c r="F72" s="218"/>
      <c r="G72" s="218"/>
      <c r="H72" s="36">
        <f>adatok!$B$12*G72</f>
        <v>0</v>
      </c>
      <c r="I72" s="38">
        <f t="shared" si="0"/>
        <v>35</v>
      </c>
      <c r="J72" s="37">
        <f>MIN(VLOOKUP(B72,órabérek,2,FALSE),adatok!$B$5)</f>
        <v>35</v>
      </c>
      <c r="K72" s="37">
        <f>adatok!$B$5</f>
        <v>45</v>
      </c>
      <c r="L72" s="37">
        <f t="shared" si="4"/>
        <v>9800</v>
      </c>
      <c r="M72" s="38">
        <f t="shared" si="2"/>
        <v>6370</v>
      </c>
      <c r="N72" s="38">
        <f t="shared" si="3"/>
        <v>3430</v>
      </c>
      <c r="O72" s="38">
        <f t="shared" si="1"/>
        <v>2234</v>
      </c>
    </row>
    <row r="73" spans="1:15" ht="14.25" customHeight="1" x14ac:dyDescent="0.2">
      <c r="A73" s="216" t="s">
        <v>611</v>
      </c>
      <c r="B73" s="216" t="s">
        <v>183</v>
      </c>
      <c r="C73" s="259" t="s">
        <v>371</v>
      </c>
      <c r="D73" s="218"/>
      <c r="E73" s="218">
        <v>84</v>
      </c>
      <c r="F73" s="218"/>
      <c r="G73" s="218"/>
      <c r="H73" s="36">
        <f>adatok!$B$12*G73</f>
        <v>0</v>
      </c>
      <c r="I73" s="38">
        <f t="shared" si="0"/>
        <v>35</v>
      </c>
      <c r="J73" s="37">
        <f>MIN(VLOOKUP(B73,órabérek,2,FALSE),adatok!$B$5)</f>
        <v>35</v>
      </c>
      <c r="K73" s="37">
        <f>adatok!$B$5</f>
        <v>45</v>
      </c>
      <c r="L73" s="37">
        <f t="shared" si="4"/>
        <v>2940</v>
      </c>
      <c r="M73" s="38">
        <f t="shared" si="2"/>
        <v>1911</v>
      </c>
      <c r="N73" s="38">
        <f t="shared" si="3"/>
        <v>1029</v>
      </c>
      <c r="O73" s="38">
        <f t="shared" si="1"/>
        <v>670</v>
      </c>
    </row>
    <row r="74" spans="1:15" ht="14.25" customHeight="1" x14ac:dyDescent="0.2">
      <c r="A74" s="216" t="s">
        <v>612</v>
      </c>
      <c r="B74" s="216" t="s">
        <v>183</v>
      </c>
      <c r="C74" s="259" t="s">
        <v>371</v>
      </c>
      <c r="D74" s="218"/>
      <c r="E74" s="218">
        <v>140</v>
      </c>
      <c r="F74" s="218"/>
      <c r="G74" s="218"/>
      <c r="H74" s="36">
        <f>adatok!$B$12*G74</f>
        <v>0</v>
      </c>
      <c r="I74" s="38">
        <f t="shared" ref="I74:I128" si="5">VLOOKUP(B74,órabérek,2,FALSE)</f>
        <v>35</v>
      </c>
      <c r="J74" s="37">
        <f>MIN(VLOOKUP(B74,órabérek,2,FALSE),adatok!$B$5)</f>
        <v>35</v>
      </c>
      <c r="K74" s="37">
        <f>adatok!$B$5</f>
        <v>45</v>
      </c>
      <c r="L74" s="37">
        <f t="shared" si="4"/>
        <v>4900</v>
      </c>
      <c r="M74" s="38">
        <f t="shared" si="2"/>
        <v>3185</v>
      </c>
      <c r="N74" s="38">
        <f t="shared" si="3"/>
        <v>1715</v>
      </c>
      <c r="O74" s="38">
        <f t="shared" ref="O74:O141" si="6">INT(L74*adókulcs)</f>
        <v>1117</v>
      </c>
    </row>
    <row r="75" spans="1:15" ht="14.25" customHeight="1" x14ac:dyDescent="0.2">
      <c r="A75" s="216" t="s">
        <v>613</v>
      </c>
      <c r="B75" s="216" t="s">
        <v>183</v>
      </c>
      <c r="C75" s="259" t="s">
        <v>371</v>
      </c>
      <c r="D75" s="218"/>
      <c r="E75" s="218">
        <v>84</v>
      </c>
      <c r="F75" s="218"/>
      <c r="G75" s="218"/>
      <c r="H75" s="36">
        <f>adatok!$B$12*G75</f>
        <v>0</v>
      </c>
      <c r="I75" s="38">
        <f t="shared" si="5"/>
        <v>35</v>
      </c>
      <c r="J75" s="37">
        <f>MIN(VLOOKUP(B75,órabérek,2,FALSE),adatok!$B$5)</f>
        <v>35</v>
      </c>
      <c r="K75" s="37">
        <f>adatok!$B$5</f>
        <v>45</v>
      </c>
      <c r="L75" s="37">
        <f t="shared" si="4"/>
        <v>2940</v>
      </c>
      <c r="M75" s="38">
        <f t="shared" si="2"/>
        <v>1911</v>
      </c>
      <c r="N75" s="38">
        <f t="shared" si="3"/>
        <v>1029</v>
      </c>
      <c r="O75" s="38">
        <f t="shared" si="6"/>
        <v>670</v>
      </c>
    </row>
    <row r="76" spans="1:15" ht="14.25" customHeight="1" x14ac:dyDescent="0.2">
      <c r="A76" s="216" t="s">
        <v>624</v>
      </c>
      <c r="B76" s="216" t="s">
        <v>186</v>
      </c>
      <c r="C76" s="216" t="s">
        <v>174</v>
      </c>
      <c r="D76" s="218">
        <v>28</v>
      </c>
      <c r="E76" s="218">
        <v>14</v>
      </c>
      <c r="F76" s="218">
        <v>7</v>
      </c>
      <c r="G76" s="218">
        <v>1</v>
      </c>
      <c r="H76" s="36">
        <f>adatok!$B$12*G76</f>
        <v>15</v>
      </c>
      <c r="I76" s="38">
        <f t="shared" si="5"/>
        <v>45</v>
      </c>
      <c r="J76" s="37">
        <f>MIN(VLOOKUP(B76,órabérek,2,FALSE),adatok!$B$5)</f>
        <v>45</v>
      </c>
      <c r="K76" s="37">
        <f>adatok!$B$5</f>
        <v>45</v>
      </c>
      <c r="L76" s="37">
        <f t="shared" ref="L76:L128" si="7">D76*2*I76+E76*J76+INT(F76/3)*J76+H76*K76</f>
        <v>3915</v>
      </c>
      <c r="M76" s="38">
        <f t="shared" ref="M76:M141" si="8">INT(L76*65%)</f>
        <v>2544</v>
      </c>
      <c r="N76" s="38">
        <f t="shared" ref="N76:N141" si="9">L76-M76</f>
        <v>1371</v>
      </c>
      <c r="O76" s="38">
        <f t="shared" si="6"/>
        <v>892</v>
      </c>
    </row>
    <row r="77" spans="1:15" ht="14.25" customHeight="1" x14ac:dyDescent="0.2">
      <c r="A77" s="247" t="s">
        <v>633</v>
      </c>
      <c r="B77" s="265" t="s">
        <v>183</v>
      </c>
      <c r="C77" s="265" t="s">
        <v>170</v>
      </c>
      <c r="D77" s="266"/>
      <c r="E77" s="266">
        <v>112</v>
      </c>
      <c r="F77" s="266"/>
      <c r="G77" s="218"/>
      <c r="H77" s="36">
        <f>adatok!$B$12*G77</f>
        <v>0</v>
      </c>
      <c r="I77" s="38">
        <f t="shared" si="5"/>
        <v>35</v>
      </c>
      <c r="J77" s="37">
        <f>MIN(VLOOKUP(B77,órabérek,2,FALSE),adatok!$B$5)</f>
        <v>35</v>
      </c>
      <c r="K77" s="37">
        <f>adatok!$B$5</f>
        <v>45</v>
      </c>
      <c r="L77" s="37">
        <f t="shared" si="7"/>
        <v>3920</v>
      </c>
      <c r="M77" s="38">
        <f t="shared" si="8"/>
        <v>2548</v>
      </c>
      <c r="N77" s="38">
        <f t="shared" si="9"/>
        <v>1372</v>
      </c>
      <c r="O77" s="38">
        <f t="shared" si="6"/>
        <v>893</v>
      </c>
    </row>
    <row r="78" spans="1:15" ht="14.25" customHeight="1" x14ac:dyDescent="0.2">
      <c r="A78" s="247" t="s">
        <v>634</v>
      </c>
      <c r="B78" s="265" t="s">
        <v>188</v>
      </c>
      <c r="C78" s="265" t="s">
        <v>170</v>
      </c>
      <c r="D78" s="266">
        <v>28</v>
      </c>
      <c r="E78" s="266">
        <v>28</v>
      </c>
      <c r="F78" s="266">
        <v>50</v>
      </c>
      <c r="G78" s="218"/>
      <c r="H78" s="36">
        <f>adatok!$B$12*G78</f>
        <v>0</v>
      </c>
      <c r="I78" s="38">
        <f t="shared" si="5"/>
        <v>50</v>
      </c>
      <c r="J78" s="37">
        <f>MIN(VLOOKUP(B78,órabérek,2,FALSE),adatok!$B$5)</f>
        <v>45</v>
      </c>
      <c r="K78" s="37">
        <f>adatok!$B$5</f>
        <v>45</v>
      </c>
      <c r="L78" s="37">
        <f t="shared" si="7"/>
        <v>4780</v>
      </c>
      <c r="M78" s="38">
        <f t="shared" si="8"/>
        <v>3107</v>
      </c>
      <c r="N78" s="38">
        <f t="shared" si="9"/>
        <v>1673</v>
      </c>
      <c r="O78" s="38">
        <f t="shared" si="6"/>
        <v>1089</v>
      </c>
    </row>
    <row r="79" spans="1:15" ht="14.25" customHeight="1" x14ac:dyDescent="0.2">
      <c r="A79" s="265" t="s">
        <v>635</v>
      </c>
      <c r="B79" s="265" t="s">
        <v>183</v>
      </c>
      <c r="C79" s="265" t="s">
        <v>171</v>
      </c>
      <c r="D79" s="266"/>
      <c r="E79" s="266">
        <v>112</v>
      </c>
      <c r="F79" s="266"/>
      <c r="G79" s="218"/>
      <c r="H79" s="36">
        <f>adatok!$B$12*G79</f>
        <v>0</v>
      </c>
      <c r="I79" s="38">
        <f t="shared" si="5"/>
        <v>35</v>
      </c>
      <c r="J79" s="37">
        <f>MIN(VLOOKUP(B79,órabérek,2,FALSE),adatok!$B$5)</f>
        <v>35</v>
      </c>
      <c r="K79" s="37">
        <f>adatok!$B$5</f>
        <v>45</v>
      </c>
      <c r="L79" s="37">
        <f t="shared" si="7"/>
        <v>3920</v>
      </c>
      <c r="M79" s="38">
        <f t="shared" si="8"/>
        <v>2548</v>
      </c>
      <c r="N79" s="38">
        <f t="shared" si="9"/>
        <v>1372</v>
      </c>
      <c r="O79" s="38">
        <f t="shared" si="6"/>
        <v>893</v>
      </c>
    </row>
    <row r="80" spans="1:15" ht="14.25" customHeight="1" x14ac:dyDescent="0.2">
      <c r="A80" s="282" t="s">
        <v>674</v>
      </c>
      <c r="B80" s="282" t="s">
        <v>183</v>
      </c>
      <c r="C80" s="282" t="s">
        <v>176</v>
      </c>
      <c r="D80" s="283"/>
      <c r="E80" s="283">
        <v>56</v>
      </c>
      <c r="F80" s="218"/>
      <c r="G80" s="218"/>
      <c r="H80" s="36">
        <f>adatok!$B$12*G80</f>
        <v>0</v>
      </c>
      <c r="I80" s="38">
        <f t="shared" si="5"/>
        <v>35</v>
      </c>
      <c r="J80" s="37">
        <f>MIN(VLOOKUP(B80,órabérek,2,FALSE),adatok!$B$5)</f>
        <v>35</v>
      </c>
      <c r="K80" s="37">
        <f>adatok!$B$5</f>
        <v>45</v>
      </c>
      <c r="L80" s="37">
        <f t="shared" si="7"/>
        <v>1960</v>
      </c>
      <c r="M80" s="38">
        <f t="shared" si="8"/>
        <v>1274</v>
      </c>
      <c r="N80" s="38">
        <f t="shared" si="9"/>
        <v>686</v>
      </c>
      <c r="O80" s="38">
        <f t="shared" si="6"/>
        <v>446</v>
      </c>
    </row>
    <row r="81" spans="1:15" ht="14.25" customHeight="1" x14ac:dyDescent="0.2">
      <c r="A81" s="282" t="s">
        <v>675</v>
      </c>
      <c r="B81" s="282" t="s">
        <v>183</v>
      </c>
      <c r="C81" s="282" t="s">
        <v>176</v>
      </c>
      <c r="D81" s="283"/>
      <c r="E81" s="283">
        <v>196</v>
      </c>
      <c r="F81" s="218"/>
      <c r="G81" s="218"/>
      <c r="H81" s="36">
        <f>adatok!$B$12*G81</f>
        <v>0</v>
      </c>
      <c r="I81" s="38">
        <f t="shared" si="5"/>
        <v>35</v>
      </c>
      <c r="J81" s="37">
        <f>MIN(VLOOKUP(B81,órabérek,2,FALSE),adatok!$B$5)</f>
        <v>35</v>
      </c>
      <c r="K81" s="37">
        <f>adatok!$B$5</f>
        <v>45</v>
      </c>
      <c r="L81" s="37">
        <f t="shared" si="7"/>
        <v>6860</v>
      </c>
      <c r="M81" s="38">
        <f t="shared" si="8"/>
        <v>4459</v>
      </c>
      <c r="N81" s="38">
        <f t="shared" si="9"/>
        <v>2401</v>
      </c>
      <c r="O81" s="38">
        <f t="shared" si="6"/>
        <v>1564</v>
      </c>
    </row>
    <row r="82" spans="1:15" ht="14.25" customHeight="1" x14ac:dyDescent="0.2">
      <c r="A82" s="282" t="s">
        <v>676</v>
      </c>
      <c r="B82" s="282" t="s">
        <v>186</v>
      </c>
      <c r="C82" s="282" t="s">
        <v>176</v>
      </c>
      <c r="D82" s="283"/>
      <c r="E82" s="283">
        <v>56</v>
      </c>
      <c r="F82" s="218"/>
      <c r="G82" s="218"/>
      <c r="H82" s="36">
        <f>adatok!$B$12*G82</f>
        <v>0</v>
      </c>
      <c r="I82" s="38">
        <f t="shared" si="5"/>
        <v>45</v>
      </c>
      <c r="J82" s="37">
        <f>MIN(VLOOKUP(B82,órabérek,2,FALSE),adatok!$B$5)</f>
        <v>45</v>
      </c>
      <c r="K82" s="37">
        <f>adatok!$B$5</f>
        <v>45</v>
      </c>
      <c r="L82" s="37">
        <f t="shared" si="7"/>
        <v>2520</v>
      </c>
      <c r="M82" s="38">
        <f t="shared" si="8"/>
        <v>1638</v>
      </c>
      <c r="N82" s="38">
        <f t="shared" si="9"/>
        <v>882</v>
      </c>
      <c r="O82" s="38">
        <f t="shared" si="6"/>
        <v>574</v>
      </c>
    </row>
    <row r="83" spans="1:15" ht="14.25" customHeight="1" x14ac:dyDescent="0.2">
      <c r="A83" s="216" t="s">
        <v>706</v>
      </c>
      <c r="B83" s="216" t="s">
        <v>183</v>
      </c>
      <c r="C83" s="216" t="s">
        <v>171</v>
      </c>
      <c r="D83" s="218">
        <v>56</v>
      </c>
      <c r="E83" s="218">
        <v>0</v>
      </c>
      <c r="F83" s="218">
        <v>46</v>
      </c>
      <c r="G83" s="218">
        <v>0</v>
      </c>
      <c r="H83" s="36">
        <f>adatok!$B$12*G83</f>
        <v>0</v>
      </c>
      <c r="I83" s="38">
        <f t="shared" si="5"/>
        <v>35</v>
      </c>
      <c r="J83" s="37">
        <f>MIN(VLOOKUP(B83,órabérek,2,FALSE),adatok!$B$5)</f>
        <v>35</v>
      </c>
      <c r="K83" s="37">
        <f>adatok!$B$5</f>
        <v>45</v>
      </c>
      <c r="L83" s="37">
        <f t="shared" si="7"/>
        <v>4445</v>
      </c>
      <c r="M83" s="38">
        <f t="shared" si="8"/>
        <v>2889</v>
      </c>
      <c r="N83" s="38">
        <f t="shared" si="9"/>
        <v>1556</v>
      </c>
      <c r="O83" s="38">
        <f t="shared" si="6"/>
        <v>1013</v>
      </c>
    </row>
    <row r="84" spans="1:15" ht="14.25" customHeight="1" x14ac:dyDescent="0.2">
      <c r="A84" s="216" t="s">
        <v>703</v>
      </c>
      <c r="B84" s="216" t="s">
        <v>186</v>
      </c>
      <c r="C84" s="216" t="s">
        <v>171</v>
      </c>
      <c r="D84" s="218">
        <v>28</v>
      </c>
      <c r="E84" s="218">
        <v>112</v>
      </c>
      <c r="F84" s="218">
        <v>50</v>
      </c>
      <c r="G84" s="218">
        <v>0</v>
      </c>
      <c r="H84" s="36">
        <f>adatok!$B$12*G84</f>
        <v>0</v>
      </c>
      <c r="I84" s="38">
        <f t="shared" si="5"/>
        <v>45</v>
      </c>
      <c r="J84" s="37">
        <f>MIN(VLOOKUP(B84,órabérek,2,FALSE),adatok!$B$5)</f>
        <v>45</v>
      </c>
      <c r="K84" s="37">
        <f>adatok!$B$5</f>
        <v>45</v>
      </c>
      <c r="L84" s="37">
        <f t="shared" si="7"/>
        <v>8280</v>
      </c>
      <c r="M84" s="38">
        <f t="shared" si="8"/>
        <v>5382</v>
      </c>
      <c r="N84" s="38">
        <f t="shared" si="9"/>
        <v>2898</v>
      </c>
      <c r="O84" s="38">
        <f t="shared" si="6"/>
        <v>1887</v>
      </c>
    </row>
    <row r="85" spans="1:15" ht="14.25" customHeight="1" x14ac:dyDescent="0.2">
      <c r="A85" s="216" t="s">
        <v>704</v>
      </c>
      <c r="B85" s="216" t="s">
        <v>183</v>
      </c>
      <c r="C85" s="216" t="s">
        <v>171</v>
      </c>
      <c r="D85" s="218">
        <v>0</v>
      </c>
      <c r="E85" s="218">
        <v>112</v>
      </c>
      <c r="F85" s="218">
        <v>0</v>
      </c>
      <c r="G85" s="218">
        <v>0</v>
      </c>
      <c r="H85" s="36">
        <f>adatok!$B$12*G85</f>
        <v>0</v>
      </c>
      <c r="I85" s="38">
        <f t="shared" si="5"/>
        <v>35</v>
      </c>
      <c r="J85" s="37">
        <f>MIN(VLOOKUP(B85,órabérek,2,FALSE),adatok!$B$5)</f>
        <v>35</v>
      </c>
      <c r="K85" s="37">
        <f>adatok!$B$5</f>
        <v>45</v>
      </c>
      <c r="L85" s="37">
        <f t="shared" si="7"/>
        <v>3920</v>
      </c>
      <c r="M85" s="38">
        <f t="shared" si="8"/>
        <v>2548</v>
      </c>
      <c r="N85" s="38">
        <f t="shared" si="9"/>
        <v>1372</v>
      </c>
      <c r="O85" s="38">
        <f t="shared" si="6"/>
        <v>893</v>
      </c>
    </row>
    <row r="86" spans="1:15" ht="14.25" customHeight="1" x14ac:dyDescent="0.2">
      <c r="A86" s="216"/>
      <c r="B86" s="216"/>
      <c r="C86" s="216"/>
      <c r="D86" s="218"/>
      <c r="E86" s="218"/>
      <c r="F86" s="218"/>
      <c r="G86" s="218"/>
      <c r="H86" s="36">
        <f>adatok!$B$12*G86</f>
        <v>0</v>
      </c>
      <c r="I86" s="38">
        <f t="shared" si="5"/>
        <v>0</v>
      </c>
      <c r="J86" s="37">
        <f>MIN(VLOOKUP(B86,órabérek,2,FALSE),adatok!$B$5)</f>
        <v>0</v>
      </c>
      <c r="K86" s="37">
        <f>adatok!$B$5</f>
        <v>45</v>
      </c>
      <c r="L86" s="37">
        <f t="shared" si="7"/>
        <v>0</v>
      </c>
      <c r="M86" s="38">
        <f t="shared" si="8"/>
        <v>0</v>
      </c>
      <c r="N86" s="38">
        <f t="shared" si="9"/>
        <v>0</v>
      </c>
      <c r="O86" s="38">
        <f t="shared" si="6"/>
        <v>0</v>
      </c>
    </row>
    <row r="87" spans="1:15" ht="14.25" customHeight="1" x14ac:dyDescent="0.2">
      <c r="A87" s="216"/>
      <c r="B87" s="216"/>
      <c r="C87" s="216"/>
      <c r="D87" s="218"/>
      <c r="E87" s="218"/>
      <c r="F87" s="218"/>
      <c r="G87" s="218"/>
      <c r="H87" s="36">
        <f>adatok!$B$12*G87</f>
        <v>0</v>
      </c>
      <c r="I87" s="38">
        <f t="shared" si="5"/>
        <v>0</v>
      </c>
      <c r="J87" s="37">
        <f>MIN(VLOOKUP(B87,órabérek,2,FALSE),adatok!$B$5)</f>
        <v>0</v>
      </c>
      <c r="K87" s="37">
        <f>adatok!$B$5</f>
        <v>45</v>
      </c>
      <c r="L87" s="37">
        <f t="shared" si="7"/>
        <v>0</v>
      </c>
      <c r="M87" s="38">
        <f t="shared" si="8"/>
        <v>0</v>
      </c>
      <c r="N87" s="38">
        <f t="shared" si="9"/>
        <v>0</v>
      </c>
      <c r="O87" s="38">
        <f t="shared" si="6"/>
        <v>0</v>
      </c>
    </row>
    <row r="88" spans="1:15" ht="14.25" customHeight="1" x14ac:dyDescent="0.2">
      <c r="A88" s="225"/>
      <c r="B88" s="216"/>
      <c r="C88" s="216"/>
      <c r="D88" s="226"/>
      <c r="E88" s="226"/>
      <c r="F88" s="226"/>
      <c r="G88" s="226"/>
      <c r="H88" s="36">
        <f>adatok!$B$12*G88</f>
        <v>0</v>
      </c>
      <c r="I88" s="38">
        <f t="shared" si="5"/>
        <v>0</v>
      </c>
      <c r="J88" s="37">
        <f>MIN(VLOOKUP(B88,órabérek,2,FALSE),adatok!$B$5)</f>
        <v>0</v>
      </c>
      <c r="K88" s="37">
        <f>adatok!$B$5</f>
        <v>45</v>
      </c>
      <c r="L88" s="37">
        <f t="shared" si="7"/>
        <v>0</v>
      </c>
      <c r="M88" s="38">
        <f t="shared" si="8"/>
        <v>0</v>
      </c>
      <c r="N88" s="38">
        <f t="shared" si="9"/>
        <v>0</v>
      </c>
      <c r="O88" s="38">
        <f t="shared" si="6"/>
        <v>0</v>
      </c>
    </row>
    <row r="89" spans="1:15" ht="14.25" customHeight="1" x14ac:dyDescent="0.2">
      <c r="A89" s="225"/>
      <c r="B89" s="216"/>
      <c r="C89" s="216"/>
      <c r="D89" s="226"/>
      <c r="E89" s="226"/>
      <c r="F89" s="226"/>
      <c r="G89" s="226"/>
      <c r="H89" s="36">
        <f>adatok!$B$12*G89</f>
        <v>0</v>
      </c>
      <c r="I89" s="38">
        <f t="shared" si="5"/>
        <v>0</v>
      </c>
      <c r="J89" s="37">
        <f>MIN(VLOOKUP(B89,órabérek,2,FALSE),adatok!$B$5)</f>
        <v>0</v>
      </c>
      <c r="K89" s="37">
        <f>adatok!$B$5</f>
        <v>45</v>
      </c>
      <c r="L89" s="37">
        <f t="shared" si="7"/>
        <v>0</v>
      </c>
      <c r="M89" s="38">
        <f t="shared" si="8"/>
        <v>0</v>
      </c>
      <c r="N89" s="38">
        <f t="shared" si="9"/>
        <v>0</v>
      </c>
      <c r="O89" s="38">
        <f t="shared" si="6"/>
        <v>0</v>
      </c>
    </row>
    <row r="90" spans="1:15" ht="14.25" customHeight="1" x14ac:dyDescent="0.2">
      <c r="A90" s="225"/>
      <c r="B90" s="216"/>
      <c r="C90" s="216"/>
      <c r="D90" s="226"/>
      <c r="E90" s="226"/>
      <c r="F90" s="226"/>
      <c r="G90" s="226"/>
      <c r="H90" s="36">
        <f>adatok!$B$12*G90</f>
        <v>0</v>
      </c>
      <c r="I90" s="38">
        <f t="shared" si="5"/>
        <v>0</v>
      </c>
      <c r="J90" s="37">
        <f>MIN(VLOOKUP(B90,órabérek,2,FALSE),adatok!$B$5)</f>
        <v>0</v>
      </c>
      <c r="K90" s="37">
        <f>adatok!$B$5</f>
        <v>45</v>
      </c>
      <c r="L90" s="37">
        <f t="shared" si="7"/>
        <v>0</v>
      </c>
      <c r="M90" s="38">
        <f t="shared" si="8"/>
        <v>0</v>
      </c>
      <c r="N90" s="38">
        <f t="shared" si="9"/>
        <v>0</v>
      </c>
      <c r="O90" s="38">
        <f t="shared" si="6"/>
        <v>0</v>
      </c>
    </row>
    <row r="91" spans="1:15" ht="14.25" customHeight="1" x14ac:dyDescent="0.2">
      <c r="A91" s="225"/>
      <c r="B91" s="216"/>
      <c r="C91" s="216"/>
      <c r="D91" s="226"/>
      <c r="E91" s="226"/>
      <c r="F91" s="226"/>
      <c r="G91" s="226"/>
      <c r="H91" s="36">
        <f>adatok!$B$12*G91</f>
        <v>0</v>
      </c>
      <c r="I91" s="38">
        <f t="shared" si="5"/>
        <v>0</v>
      </c>
      <c r="J91" s="37">
        <f>MIN(VLOOKUP(B91,órabérek,2,FALSE),adatok!$B$5)</f>
        <v>0</v>
      </c>
      <c r="K91" s="37">
        <f>adatok!$B$5</f>
        <v>45</v>
      </c>
      <c r="L91" s="37">
        <f t="shared" si="7"/>
        <v>0</v>
      </c>
      <c r="M91" s="38">
        <f t="shared" si="8"/>
        <v>0</v>
      </c>
      <c r="N91" s="38">
        <f t="shared" si="9"/>
        <v>0</v>
      </c>
      <c r="O91" s="38">
        <f t="shared" si="6"/>
        <v>0</v>
      </c>
    </row>
    <row r="92" spans="1:15" ht="14.25" customHeight="1" x14ac:dyDescent="0.2">
      <c r="A92" s="225"/>
      <c r="B92" s="216"/>
      <c r="C92" s="216"/>
      <c r="D92" s="226"/>
      <c r="E92" s="226"/>
      <c r="F92" s="226"/>
      <c r="G92" s="226"/>
      <c r="H92" s="36">
        <f>adatok!$B$12*G92</f>
        <v>0</v>
      </c>
      <c r="I92" s="38">
        <f t="shared" si="5"/>
        <v>0</v>
      </c>
      <c r="J92" s="37">
        <f>MIN(VLOOKUP(B92,órabérek,2,FALSE),adatok!$B$5)</f>
        <v>0</v>
      </c>
      <c r="K92" s="37">
        <f>adatok!$B$5</f>
        <v>45</v>
      </c>
      <c r="L92" s="37">
        <f t="shared" si="7"/>
        <v>0</v>
      </c>
      <c r="M92" s="38">
        <f t="shared" si="8"/>
        <v>0</v>
      </c>
      <c r="N92" s="38">
        <f t="shared" si="9"/>
        <v>0</v>
      </c>
      <c r="O92" s="38">
        <f t="shared" si="6"/>
        <v>0</v>
      </c>
    </row>
    <row r="93" spans="1:15" ht="14.25" customHeight="1" x14ac:dyDescent="0.2">
      <c r="A93" s="225"/>
      <c r="B93" s="216"/>
      <c r="C93" s="216"/>
      <c r="D93" s="226"/>
      <c r="E93" s="226"/>
      <c r="F93" s="226"/>
      <c r="G93" s="226"/>
      <c r="H93" s="36">
        <f>adatok!$B$12*G93</f>
        <v>0</v>
      </c>
      <c r="I93" s="38">
        <f t="shared" si="5"/>
        <v>0</v>
      </c>
      <c r="J93" s="37">
        <f>MIN(VLOOKUP(B93,órabérek,2,FALSE),adatok!$B$5)</f>
        <v>0</v>
      </c>
      <c r="K93" s="37">
        <f>adatok!$B$5</f>
        <v>45</v>
      </c>
      <c r="L93" s="37">
        <f t="shared" si="7"/>
        <v>0</v>
      </c>
      <c r="M93" s="38">
        <f t="shared" si="8"/>
        <v>0</v>
      </c>
      <c r="N93" s="38">
        <f t="shared" si="9"/>
        <v>0</v>
      </c>
      <c r="O93" s="38">
        <f t="shared" si="6"/>
        <v>0</v>
      </c>
    </row>
    <row r="94" spans="1:15" ht="14.25" customHeight="1" x14ac:dyDescent="0.2">
      <c r="A94" s="225"/>
      <c r="B94" s="216"/>
      <c r="C94" s="216"/>
      <c r="D94" s="226"/>
      <c r="E94" s="226"/>
      <c r="F94" s="226"/>
      <c r="G94" s="226"/>
      <c r="H94" s="36">
        <f>adatok!$B$12*G94</f>
        <v>0</v>
      </c>
      <c r="I94" s="38">
        <f t="shared" si="5"/>
        <v>0</v>
      </c>
      <c r="J94" s="37">
        <f>MIN(VLOOKUP(B94,órabérek,2,FALSE),adatok!$B$5)</f>
        <v>0</v>
      </c>
      <c r="K94" s="37">
        <f>adatok!$B$5</f>
        <v>45</v>
      </c>
      <c r="L94" s="37">
        <f t="shared" si="7"/>
        <v>0</v>
      </c>
      <c r="M94" s="38">
        <f t="shared" si="8"/>
        <v>0</v>
      </c>
      <c r="N94" s="38">
        <f t="shared" si="9"/>
        <v>0</v>
      </c>
      <c r="O94" s="38">
        <f t="shared" si="6"/>
        <v>0</v>
      </c>
    </row>
    <row r="95" spans="1:15" ht="14.25" customHeight="1" x14ac:dyDescent="0.2">
      <c r="A95" s="225"/>
      <c r="B95" s="216"/>
      <c r="C95" s="216"/>
      <c r="D95" s="226"/>
      <c r="E95" s="226"/>
      <c r="F95" s="226"/>
      <c r="G95" s="226"/>
      <c r="H95" s="36">
        <f>adatok!$B$12*G95</f>
        <v>0</v>
      </c>
      <c r="I95" s="38">
        <f t="shared" si="5"/>
        <v>0</v>
      </c>
      <c r="J95" s="37">
        <f>MIN(VLOOKUP(B95,órabérek,2,FALSE),adatok!$B$5)</f>
        <v>0</v>
      </c>
      <c r="K95" s="37">
        <f>adatok!$B$5</f>
        <v>45</v>
      </c>
      <c r="L95" s="37">
        <f t="shared" si="7"/>
        <v>0</v>
      </c>
      <c r="M95" s="38">
        <f t="shared" si="8"/>
        <v>0</v>
      </c>
      <c r="N95" s="38">
        <f t="shared" si="9"/>
        <v>0</v>
      </c>
      <c r="O95" s="38">
        <f t="shared" si="6"/>
        <v>0</v>
      </c>
    </row>
    <row r="96" spans="1:15" ht="14.25" customHeight="1" x14ac:dyDescent="0.2">
      <c r="A96" s="225"/>
      <c r="B96" s="216"/>
      <c r="C96" s="216"/>
      <c r="D96" s="226"/>
      <c r="E96" s="226"/>
      <c r="F96" s="226"/>
      <c r="G96" s="226"/>
      <c r="H96" s="36">
        <f>adatok!$B$12*G96</f>
        <v>0</v>
      </c>
      <c r="I96" s="38">
        <f t="shared" si="5"/>
        <v>0</v>
      </c>
      <c r="J96" s="37">
        <f>MIN(VLOOKUP(B96,órabérek,2,FALSE),adatok!$B$5)</f>
        <v>0</v>
      </c>
      <c r="K96" s="37">
        <f>adatok!$B$5</f>
        <v>45</v>
      </c>
      <c r="L96" s="37">
        <f t="shared" si="7"/>
        <v>0</v>
      </c>
      <c r="M96" s="38">
        <f t="shared" si="8"/>
        <v>0</v>
      </c>
      <c r="N96" s="38">
        <f t="shared" si="9"/>
        <v>0</v>
      </c>
      <c r="O96" s="38">
        <f t="shared" si="6"/>
        <v>0</v>
      </c>
    </row>
    <row r="97" spans="1:15" ht="14.25" customHeight="1" x14ac:dyDescent="0.2">
      <c r="A97" s="225"/>
      <c r="B97" s="216"/>
      <c r="C97" s="216"/>
      <c r="D97" s="226"/>
      <c r="E97" s="226"/>
      <c r="F97" s="226"/>
      <c r="G97" s="226"/>
      <c r="H97" s="36">
        <f>adatok!$B$12*G97</f>
        <v>0</v>
      </c>
      <c r="I97" s="38">
        <f t="shared" si="5"/>
        <v>0</v>
      </c>
      <c r="J97" s="37">
        <f>MIN(VLOOKUP(B97,órabérek,2,FALSE),adatok!$B$5)</f>
        <v>0</v>
      </c>
      <c r="K97" s="37">
        <f>adatok!$B$5</f>
        <v>45</v>
      </c>
      <c r="L97" s="37">
        <f t="shared" si="7"/>
        <v>0</v>
      </c>
      <c r="M97" s="38">
        <f t="shared" si="8"/>
        <v>0</v>
      </c>
      <c r="N97" s="38">
        <f t="shared" si="9"/>
        <v>0</v>
      </c>
      <c r="O97" s="38">
        <f t="shared" si="6"/>
        <v>0</v>
      </c>
    </row>
    <row r="98" spans="1:15" ht="14.25" customHeight="1" x14ac:dyDescent="0.2">
      <c r="A98" s="225"/>
      <c r="B98" s="216"/>
      <c r="C98" s="216"/>
      <c r="D98" s="226"/>
      <c r="E98" s="226"/>
      <c r="F98" s="226"/>
      <c r="G98" s="226"/>
      <c r="H98" s="36">
        <f>adatok!$B$12*G98</f>
        <v>0</v>
      </c>
      <c r="I98" s="38">
        <f t="shared" si="5"/>
        <v>0</v>
      </c>
      <c r="J98" s="37">
        <f>MIN(VLOOKUP(B98,órabérek,2,FALSE),adatok!$B$5)</f>
        <v>0</v>
      </c>
      <c r="K98" s="37">
        <f>adatok!$B$5</f>
        <v>45</v>
      </c>
      <c r="L98" s="37">
        <f t="shared" si="7"/>
        <v>0</v>
      </c>
      <c r="M98" s="38">
        <f t="shared" si="8"/>
        <v>0</v>
      </c>
      <c r="N98" s="38">
        <f t="shared" si="9"/>
        <v>0</v>
      </c>
      <c r="O98" s="38">
        <f t="shared" si="6"/>
        <v>0</v>
      </c>
    </row>
    <row r="99" spans="1:15" ht="14.25" customHeight="1" x14ac:dyDescent="0.2">
      <c r="A99" s="225"/>
      <c r="B99" s="216"/>
      <c r="C99" s="216"/>
      <c r="D99" s="226"/>
      <c r="E99" s="226"/>
      <c r="F99" s="226"/>
      <c r="G99" s="226"/>
      <c r="H99" s="36">
        <f>adatok!$B$12*G99</f>
        <v>0</v>
      </c>
      <c r="I99" s="38">
        <f t="shared" si="5"/>
        <v>0</v>
      </c>
      <c r="J99" s="37">
        <f>MIN(VLOOKUP(B99,órabérek,2,FALSE),adatok!$B$5)</f>
        <v>0</v>
      </c>
      <c r="K99" s="37">
        <f>adatok!$B$5</f>
        <v>45</v>
      </c>
      <c r="L99" s="37">
        <f t="shared" si="7"/>
        <v>0</v>
      </c>
      <c r="M99" s="38">
        <f t="shared" si="8"/>
        <v>0</v>
      </c>
      <c r="N99" s="38">
        <f t="shared" si="9"/>
        <v>0</v>
      </c>
      <c r="O99" s="38">
        <f t="shared" si="6"/>
        <v>0</v>
      </c>
    </row>
    <row r="100" spans="1:15" ht="14.25" customHeight="1" x14ac:dyDescent="0.2">
      <c r="A100" s="225"/>
      <c r="B100" s="216"/>
      <c r="C100" s="216"/>
      <c r="D100" s="226"/>
      <c r="E100" s="226"/>
      <c r="F100" s="226"/>
      <c r="G100" s="226"/>
      <c r="H100" s="36">
        <f>adatok!$B$12*G100</f>
        <v>0</v>
      </c>
      <c r="I100" s="38">
        <f t="shared" si="5"/>
        <v>0</v>
      </c>
      <c r="J100" s="37">
        <f>MIN(VLOOKUP(B100,órabérek,2,FALSE),adatok!$B$5)</f>
        <v>0</v>
      </c>
      <c r="K100" s="37">
        <f>adatok!$B$5</f>
        <v>45</v>
      </c>
      <c r="L100" s="37">
        <f t="shared" si="7"/>
        <v>0</v>
      </c>
      <c r="M100" s="38">
        <f t="shared" si="8"/>
        <v>0</v>
      </c>
      <c r="N100" s="38">
        <f t="shared" si="9"/>
        <v>0</v>
      </c>
      <c r="O100" s="38">
        <f t="shared" si="6"/>
        <v>0</v>
      </c>
    </row>
    <row r="101" spans="1:15" ht="14.25" customHeight="1" x14ac:dyDescent="0.2">
      <c r="A101" s="225"/>
      <c r="B101" s="216"/>
      <c r="C101" s="216"/>
      <c r="D101" s="226"/>
      <c r="E101" s="226"/>
      <c r="F101" s="226"/>
      <c r="G101" s="226"/>
      <c r="H101" s="36">
        <f>adatok!$B$12*G101</f>
        <v>0</v>
      </c>
      <c r="I101" s="38">
        <f t="shared" si="5"/>
        <v>0</v>
      </c>
      <c r="J101" s="37">
        <f>MIN(VLOOKUP(B101,órabérek,2,FALSE),adatok!$B$5)</f>
        <v>0</v>
      </c>
      <c r="K101" s="37">
        <f>adatok!$B$5</f>
        <v>45</v>
      </c>
      <c r="L101" s="37">
        <f t="shared" si="7"/>
        <v>0</v>
      </c>
      <c r="M101" s="38">
        <f t="shared" si="8"/>
        <v>0</v>
      </c>
      <c r="N101" s="38">
        <f t="shared" si="9"/>
        <v>0</v>
      </c>
      <c r="O101" s="38">
        <f t="shared" si="6"/>
        <v>0</v>
      </c>
    </row>
    <row r="102" spans="1:15" ht="14.25" customHeight="1" x14ac:dyDescent="0.2">
      <c r="A102" s="225"/>
      <c r="B102" s="216"/>
      <c r="C102" s="216"/>
      <c r="D102" s="226"/>
      <c r="E102" s="226"/>
      <c r="F102" s="226"/>
      <c r="G102" s="226"/>
      <c r="H102" s="36">
        <f>adatok!$B$12*G102</f>
        <v>0</v>
      </c>
      <c r="I102" s="38">
        <f t="shared" si="5"/>
        <v>0</v>
      </c>
      <c r="J102" s="37">
        <f>MIN(VLOOKUP(B102,órabérek,2,FALSE),adatok!$B$5)</f>
        <v>0</v>
      </c>
      <c r="K102" s="37">
        <f>adatok!$B$5</f>
        <v>45</v>
      </c>
      <c r="L102" s="37">
        <f t="shared" si="7"/>
        <v>0</v>
      </c>
      <c r="M102" s="38">
        <f t="shared" si="8"/>
        <v>0</v>
      </c>
      <c r="N102" s="38">
        <f t="shared" si="9"/>
        <v>0</v>
      </c>
      <c r="O102" s="38">
        <f t="shared" si="6"/>
        <v>0</v>
      </c>
    </row>
    <row r="103" spans="1:15" ht="14.25" customHeight="1" x14ac:dyDescent="0.2">
      <c r="A103" s="225"/>
      <c r="B103" s="216"/>
      <c r="C103" s="216"/>
      <c r="D103" s="226"/>
      <c r="E103" s="226"/>
      <c r="F103" s="226"/>
      <c r="G103" s="226"/>
      <c r="H103" s="36">
        <f>adatok!$B$12*G103</f>
        <v>0</v>
      </c>
      <c r="I103" s="38">
        <f t="shared" si="5"/>
        <v>0</v>
      </c>
      <c r="J103" s="37">
        <f>MIN(VLOOKUP(B103,órabérek,2,FALSE),adatok!$B$5)</f>
        <v>0</v>
      </c>
      <c r="K103" s="37">
        <f>adatok!$B$5</f>
        <v>45</v>
      </c>
      <c r="L103" s="37">
        <f t="shared" si="7"/>
        <v>0</v>
      </c>
      <c r="M103" s="38">
        <f t="shared" si="8"/>
        <v>0</v>
      </c>
      <c r="N103" s="38">
        <f t="shared" si="9"/>
        <v>0</v>
      </c>
      <c r="O103" s="38">
        <f t="shared" si="6"/>
        <v>0</v>
      </c>
    </row>
    <row r="104" spans="1:15" ht="14.25" customHeight="1" x14ac:dyDescent="0.2">
      <c r="A104" s="225"/>
      <c r="B104" s="216"/>
      <c r="C104" s="216"/>
      <c r="D104" s="226"/>
      <c r="E104" s="226"/>
      <c r="F104" s="226"/>
      <c r="G104" s="226"/>
      <c r="H104" s="36">
        <f>adatok!$B$12*G104</f>
        <v>0</v>
      </c>
      <c r="I104" s="38">
        <f t="shared" si="5"/>
        <v>0</v>
      </c>
      <c r="J104" s="37">
        <f>MIN(VLOOKUP(B104,órabérek,2,FALSE),adatok!$B$5)</f>
        <v>0</v>
      </c>
      <c r="K104" s="37">
        <f>adatok!$B$5</f>
        <v>45</v>
      </c>
      <c r="L104" s="37">
        <f t="shared" si="7"/>
        <v>0</v>
      </c>
      <c r="M104" s="38">
        <f t="shared" si="8"/>
        <v>0</v>
      </c>
      <c r="N104" s="38">
        <f t="shared" si="9"/>
        <v>0</v>
      </c>
      <c r="O104" s="38">
        <f t="shared" si="6"/>
        <v>0</v>
      </c>
    </row>
    <row r="105" spans="1:15" ht="14.25" customHeight="1" x14ac:dyDescent="0.2">
      <c r="A105" s="225"/>
      <c r="B105" s="216"/>
      <c r="C105" s="216"/>
      <c r="D105" s="226"/>
      <c r="E105" s="226"/>
      <c r="F105" s="226"/>
      <c r="G105" s="226"/>
      <c r="H105" s="36">
        <f>adatok!$B$12*G105</f>
        <v>0</v>
      </c>
      <c r="I105" s="38">
        <f t="shared" si="5"/>
        <v>0</v>
      </c>
      <c r="J105" s="37">
        <f>MIN(VLOOKUP(B105,órabérek,2,FALSE),adatok!$B$5)</f>
        <v>0</v>
      </c>
      <c r="K105" s="37">
        <f>adatok!$B$5</f>
        <v>45</v>
      </c>
      <c r="L105" s="37">
        <f t="shared" si="7"/>
        <v>0</v>
      </c>
      <c r="M105" s="38">
        <f t="shared" si="8"/>
        <v>0</v>
      </c>
      <c r="N105" s="38">
        <f t="shared" si="9"/>
        <v>0</v>
      </c>
      <c r="O105" s="38">
        <f t="shared" si="6"/>
        <v>0</v>
      </c>
    </row>
    <row r="106" spans="1:15" ht="14.25" customHeight="1" x14ac:dyDescent="0.2">
      <c r="A106" s="225"/>
      <c r="B106" s="216"/>
      <c r="C106" s="216"/>
      <c r="D106" s="226"/>
      <c r="E106" s="226"/>
      <c r="F106" s="226"/>
      <c r="G106" s="226"/>
      <c r="H106" s="36">
        <f>adatok!$B$12*G106</f>
        <v>0</v>
      </c>
      <c r="I106" s="38">
        <f t="shared" si="5"/>
        <v>0</v>
      </c>
      <c r="J106" s="37">
        <f>MIN(VLOOKUP(B106,órabérek,2,FALSE),adatok!$B$5)</f>
        <v>0</v>
      </c>
      <c r="K106" s="37">
        <f>adatok!$B$5</f>
        <v>45</v>
      </c>
      <c r="L106" s="37">
        <f t="shared" si="7"/>
        <v>0</v>
      </c>
      <c r="M106" s="38">
        <f t="shared" si="8"/>
        <v>0</v>
      </c>
      <c r="N106" s="38">
        <f t="shared" si="9"/>
        <v>0</v>
      </c>
      <c r="O106" s="38">
        <f t="shared" si="6"/>
        <v>0</v>
      </c>
    </row>
    <row r="107" spans="1:15" x14ac:dyDescent="0.2">
      <c r="A107" s="225"/>
      <c r="B107" s="216"/>
      <c r="C107" s="216"/>
      <c r="D107" s="226"/>
      <c r="E107" s="226"/>
      <c r="F107" s="226"/>
      <c r="G107" s="226"/>
      <c r="H107" s="36">
        <f>adatok!$B$12*G107</f>
        <v>0</v>
      </c>
      <c r="I107" s="38">
        <f t="shared" si="5"/>
        <v>0</v>
      </c>
      <c r="J107" s="37">
        <f>MIN(VLOOKUP(B107,órabérek,2,FALSE),adatok!$B$5)</f>
        <v>0</v>
      </c>
      <c r="K107" s="37">
        <f>adatok!$B$5</f>
        <v>45</v>
      </c>
      <c r="L107" s="37">
        <f t="shared" si="7"/>
        <v>0</v>
      </c>
      <c r="M107" s="38">
        <f t="shared" si="8"/>
        <v>0</v>
      </c>
      <c r="N107" s="38">
        <f t="shared" si="9"/>
        <v>0</v>
      </c>
      <c r="O107" s="38">
        <f t="shared" si="6"/>
        <v>0</v>
      </c>
    </row>
    <row r="108" spans="1:15" x14ac:dyDescent="0.2">
      <c r="A108" s="225"/>
      <c r="B108" s="216"/>
      <c r="C108" s="216"/>
      <c r="D108" s="226"/>
      <c r="E108" s="226"/>
      <c r="F108" s="226"/>
      <c r="G108" s="226"/>
      <c r="H108" s="36">
        <f>adatok!$B$12*G108</f>
        <v>0</v>
      </c>
      <c r="I108" s="38">
        <f t="shared" si="5"/>
        <v>0</v>
      </c>
      <c r="J108" s="37">
        <f>MIN(VLOOKUP(B108,órabérek,2,FALSE),adatok!$B$5)</f>
        <v>0</v>
      </c>
      <c r="K108" s="37">
        <f>adatok!$B$5</f>
        <v>45</v>
      </c>
      <c r="L108" s="37">
        <f t="shared" si="7"/>
        <v>0</v>
      </c>
      <c r="M108" s="38">
        <f t="shared" si="8"/>
        <v>0</v>
      </c>
      <c r="N108" s="38">
        <f t="shared" si="9"/>
        <v>0</v>
      </c>
      <c r="O108" s="38">
        <f t="shared" si="6"/>
        <v>0</v>
      </c>
    </row>
    <row r="109" spans="1:15" x14ac:dyDescent="0.2">
      <c r="A109" s="216"/>
      <c r="B109" s="216"/>
      <c r="C109" s="216"/>
      <c r="D109" s="227"/>
      <c r="E109" s="227"/>
      <c r="F109" s="227"/>
      <c r="G109" s="227"/>
      <c r="H109" s="36">
        <f>adatok!$B$12*G109</f>
        <v>0</v>
      </c>
      <c r="I109" s="38">
        <f t="shared" si="5"/>
        <v>0</v>
      </c>
      <c r="J109" s="37">
        <f>MIN(VLOOKUP(B109,órabérek,2,FALSE),adatok!$B$5)</f>
        <v>0</v>
      </c>
      <c r="K109" s="37">
        <f>adatok!$B$5</f>
        <v>45</v>
      </c>
      <c r="L109" s="37">
        <f t="shared" si="7"/>
        <v>0</v>
      </c>
      <c r="M109" s="38">
        <f t="shared" si="8"/>
        <v>0</v>
      </c>
      <c r="N109" s="38">
        <f t="shared" si="9"/>
        <v>0</v>
      </c>
      <c r="O109" s="38">
        <f t="shared" si="6"/>
        <v>0</v>
      </c>
    </row>
    <row r="110" spans="1:15" x14ac:dyDescent="0.2">
      <c r="A110" s="216"/>
      <c r="B110" s="216"/>
      <c r="C110" s="216"/>
      <c r="D110" s="227"/>
      <c r="E110" s="227"/>
      <c r="F110" s="227"/>
      <c r="G110" s="227"/>
      <c r="H110" s="36">
        <f>adatok!$B$12*G110</f>
        <v>0</v>
      </c>
      <c r="I110" s="38">
        <f t="shared" si="5"/>
        <v>0</v>
      </c>
      <c r="J110" s="37">
        <f>MIN(VLOOKUP(B110,órabérek,2,FALSE),adatok!$B$5)</f>
        <v>0</v>
      </c>
      <c r="K110" s="37">
        <f>adatok!$B$5</f>
        <v>45</v>
      </c>
      <c r="L110" s="37">
        <f t="shared" si="7"/>
        <v>0</v>
      </c>
      <c r="M110" s="38">
        <f t="shared" si="8"/>
        <v>0</v>
      </c>
      <c r="N110" s="38">
        <f t="shared" si="9"/>
        <v>0</v>
      </c>
      <c r="O110" s="38">
        <f t="shared" si="6"/>
        <v>0</v>
      </c>
    </row>
    <row r="111" spans="1:15" x14ac:dyDescent="0.2">
      <c r="A111" s="216"/>
      <c r="B111" s="216"/>
      <c r="C111" s="216"/>
      <c r="D111" s="227"/>
      <c r="E111" s="227"/>
      <c r="F111" s="227"/>
      <c r="G111" s="227"/>
      <c r="H111" s="36">
        <f>adatok!$B$12*G111</f>
        <v>0</v>
      </c>
      <c r="I111" s="38">
        <f t="shared" si="5"/>
        <v>0</v>
      </c>
      <c r="J111" s="37">
        <f>MIN(VLOOKUP(B111,órabérek,2,FALSE),adatok!$B$5)</f>
        <v>0</v>
      </c>
      <c r="K111" s="37">
        <f>adatok!$B$5</f>
        <v>45</v>
      </c>
      <c r="L111" s="37">
        <f t="shared" si="7"/>
        <v>0</v>
      </c>
      <c r="M111" s="38">
        <f t="shared" si="8"/>
        <v>0</v>
      </c>
      <c r="N111" s="38">
        <f t="shared" si="9"/>
        <v>0</v>
      </c>
      <c r="O111" s="38">
        <f t="shared" si="6"/>
        <v>0</v>
      </c>
    </row>
    <row r="112" spans="1:15" x14ac:dyDescent="0.2">
      <c r="A112" s="216"/>
      <c r="B112" s="216"/>
      <c r="C112" s="216"/>
      <c r="D112" s="227"/>
      <c r="E112" s="227"/>
      <c r="F112" s="227"/>
      <c r="G112" s="227"/>
      <c r="H112" s="36">
        <f>adatok!$B$12*G112</f>
        <v>0</v>
      </c>
      <c r="I112" s="38">
        <f t="shared" si="5"/>
        <v>0</v>
      </c>
      <c r="J112" s="37">
        <f>MIN(VLOOKUP(B112,órabérek,2,FALSE),adatok!$B$5)</f>
        <v>0</v>
      </c>
      <c r="K112" s="37">
        <f>adatok!$B$5</f>
        <v>45</v>
      </c>
      <c r="L112" s="37">
        <f t="shared" si="7"/>
        <v>0</v>
      </c>
      <c r="M112" s="38">
        <f t="shared" si="8"/>
        <v>0</v>
      </c>
      <c r="N112" s="38">
        <f t="shared" si="9"/>
        <v>0</v>
      </c>
      <c r="O112" s="38">
        <f t="shared" si="6"/>
        <v>0</v>
      </c>
    </row>
    <row r="113" spans="1:15" x14ac:dyDescent="0.2">
      <c r="A113" s="216"/>
      <c r="B113" s="216"/>
      <c r="C113" s="216"/>
      <c r="D113" s="227"/>
      <c r="E113" s="227"/>
      <c r="F113" s="227"/>
      <c r="G113" s="227"/>
      <c r="H113" s="36">
        <f>adatok!$B$12*G113</f>
        <v>0</v>
      </c>
      <c r="I113" s="38">
        <f t="shared" si="5"/>
        <v>0</v>
      </c>
      <c r="J113" s="37">
        <f>MIN(VLOOKUP(B113,órabérek,2,FALSE),adatok!$B$5)</f>
        <v>0</v>
      </c>
      <c r="K113" s="37">
        <f>adatok!$B$5</f>
        <v>45</v>
      </c>
      <c r="L113" s="37">
        <f t="shared" si="7"/>
        <v>0</v>
      </c>
      <c r="M113" s="38">
        <f t="shared" si="8"/>
        <v>0</v>
      </c>
      <c r="N113" s="38">
        <f t="shared" si="9"/>
        <v>0</v>
      </c>
      <c r="O113" s="38">
        <f t="shared" si="6"/>
        <v>0</v>
      </c>
    </row>
    <row r="114" spans="1:15" x14ac:dyDescent="0.2">
      <c r="A114" s="216"/>
      <c r="B114" s="216"/>
      <c r="C114" s="216"/>
      <c r="D114" s="227"/>
      <c r="E114" s="227"/>
      <c r="F114" s="227"/>
      <c r="G114" s="227"/>
      <c r="H114" s="36">
        <f>adatok!$B$12*G114</f>
        <v>0</v>
      </c>
      <c r="I114" s="38">
        <f t="shared" si="5"/>
        <v>0</v>
      </c>
      <c r="J114" s="37">
        <f>MIN(VLOOKUP(B114,órabérek,2,FALSE),adatok!$B$5)</f>
        <v>0</v>
      </c>
      <c r="K114" s="37">
        <f>adatok!$B$5</f>
        <v>45</v>
      </c>
      <c r="L114" s="37">
        <f t="shared" si="7"/>
        <v>0</v>
      </c>
      <c r="M114" s="38">
        <f t="shared" si="8"/>
        <v>0</v>
      </c>
      <c r="N114" s="38">
        <f t="shared" si="9"/>
        <v>0</v>
      </c>
      <c r="O114" s="38">
        <f t="shared" si="6"/>
        <v>0</v>
      </c>
    </row>
    <row r="115" spans="1:15" x14ac:dyDescent="0.2">
      <c r="A115" s="216"/>
      <c r="B115" s="216"/>
      <c r="C115" s="216"/>
      <c r="D115" s="227"/>
      <c r="E115" s="227"/>
      <c r="F115" s="227"/>
      <c r="G115" s="227"/>
      <c r="H115" s="36">
        <f>adatok!$B$12*G115</f>
        <v>0</v>
      </c>
      <c r="I115" s="38">
        <f t="shared" si="5"/>
        <v>0</v>
      </c>
      <c r="J115" s="37">
        <f>MIN(VLOOKUP(B115,órabérek,2,FALSE),adatok!$B$5)</f>
        <v>0</v>
      </c>
      <c r="K115" s="37">
        <f>adatok!$B$5</f>
        <v>45</v>
      </c>
      <c r="L115" s="37">
        <f t="shared" si="7"/>
        <v>0</v>
      </c>
      <c r="M115" s="38">
        <f t="shared" si="8"/>
        <v>0</v>
      </c>
      <c r="N115" s="38">
        <f t="shared" si="9"/>
        <v>0</v>
      </c>
      <c r="O115" s="38">
        <f t="shared" si="6"/>
        <v>0</v>
      </c>
    </row>
    <row r="116" spans="1:15" x14ac:dyDescent="0.2">
      <c r="A116" s="216"/>
      <c r="B116" s="216"/>
      <c r="C116" s="216"/>
      <c r="D116" s="227"/>
      <c r="E116" s="227"/>
      <c r="F116" s="227"/>
      <c r="G116" s="227"/>
      <c r="H116" s="36">
        <f>adatok!$B$12*G116</f>
        <v>0</v>
      </c>
      <c r="I116" s="38">
        <f t="shared" si="5"/>
        <v>0</v>
      </c>
      <c r="J116" s="37">
        <f>MIN(VLOOKUP(B116,órabérek,2,FALSE),adatok!$B$5)</f>
        <v>0</v>
      </c>
      <c r="K116" s="37">
        <f>adatok!$B$5</f>
        <v>45</v>
      </c>
      <c r="L116" s="37">
        <f t="shared" si="7"/>
        <v>0</v>
      </c>
      <c r="M116" s="38">
        <f t="shared" si="8"/>
        <v>0</v>
      </c>
      <c r="N116" s="38">
        <f t="shared" si="9"/>
        <v>0</v>
      </c>
      <c r="O116" s="38">
        <f t="shared" si="6"/>
        <v>0</v>
      </c>
    </row>
    <row r="117" spans="1:15" x14ac:dyDescent="0.2">
      <c r="A117" s="216"/>
      <c r="B117" s="216"/>
      <c r="C117" s="216"/>
      <c r="D117" s="227"/>
      <c r="E117" s="227"/>
      <c r="F117" s="227"/>
      <c r="G117" s="227"/>
      <c r="H117" s="36">
        <f>adatok!$B$12*G117</f>
        <v>0</v>
      </c>
      <c r="I117" s="38">
        <f t="shared" si="5"/>
        <v>0</v>
      </c>
      <c r="J117" s="37">
        <f>MIN(VLOOKUP(B117,órabérek,2,FALSE),adatok!$B$5)</f>
        <v>0</v>
      </c>
      <c r="K117" s="37">
        <f>adatok!$B$5</f>
        <v>45</v>
      </c>
      <c r="L117" s="37">
        <f t="shared" si="7"/>
        <v>0</v>
      </c>
      <c r="M117" s="38">
        <f t="shared" si="8"/>
        <v>0</v>
      </c>
      <c r="N117" s="38">
        <f t="shared" si="9"/>
        <v>0</v>
      </c>
      <c r="O117" s="38">
        <f t="shared" si="6"/>
        <v>0</v>
      </c>
    </row>
    <row r="118" spans="1:15" x14ac:dyDescent="0.2">
      <c r="A118" s="216"/>
      <c r="B118" s="216"/>
      <c r="C118" s="216"/>
      <c r="D118" s="227"/>
      <c r="E118" s="227"/>
      <c r="F118" s="227"/>
      <c r="G118" s="227"/>
      <c r="H118" s="36">
        <f>adatok!$B$12*G118</f>
        <v>0</v>
      </c>
      <c r="I118" s="38">
        <f t="shared" si="5"/>
        <v>0</v>
      </c>
      <c r="J118" s="37">
        <f>MIN(VLOOKUP(B118,órabérek,2,FALSE),adatok!$B$5)</f>
        <v>0</v>
      </c>
      <c r="K118" s="37">
        <f>adatok!$B$5</f>
        <v>45</v>
      </c>
      <c r="L118" s="37">
        <f t="shared" si="7"/>
        <v>0</v>
      </c>
      <c r="M118" s="38">
        <f t="shared" si="8"/>
        <v>0</v>
      </c>
      <c r="N118" s="38">
        <f t="shared" si="9"/>
        <v>0</v>
      </c>
      <c r="O118" s="38">
        <f t="shared" si="6"/>
        <v>0</v>
      </c>
    </row>
    <row r="119" spans="1:15" x14ac:dyDescent="0.2">
      <c r="A119" s="216"/>
      <c r="B119" s="216"/>
      <c r="C119" s="216"/>
      <c r="D119" s="227"/>
      <c r="E119" s="227"/>
      <c r="F119" s="227"/>
      <c r="G119" s="227"/>
      <c r="H119" s="36">
        <f>adatok!$B$12*G119</f>
        <v>0</v>
      </c>
      <c r="I119" s="38">
        <f t="shared" si="5"/>
        <v>0</v>
      </c>
      <c r="J119" s="37">
        <f>MIN(VLOOKUP(B119,órabérek,2,FALSE),adatok!$B$5)</f>
        <v>0</v>
      </c>
      <c r="K119" s="37">
        <f>adatok!$B$5</f>
        <v>45</v>
      </c>
      <c r="L119" s="37">
        <f t="shared" si="7"/>
        <v>0</v>
      </c>
      <c r="M119" s="38">
        <f t="shared" si="8"/>
        <v>0</v>
      </c>
      <c r="N119" s="38">
        <f t="shared" si="9"/>
        <v>0</v>
      </c>
      <c r="O119" s="38">
        <f t="shared" si="6"/>
        <v>0</v>
      </c>
    </row>
    <row r="120" spans="1:15" x14ac:dyDescent="0.2">
      <c r="A120" s="216"/>
      <c r="B120" s="216"/>
      <c r="C120" s="216"/>
      <c r="D120" s="227"/>
      <c r="E120" s="227"/>
      <c r="F120" s="227"/>
      <c r="G120" s="227"/>
      <c r="H120" s="36">
        <f>adatok!$B$12*G120</f>
        <v>0</v>
      </c>
      <c r="I120" s="38">
        <f t="shared" si="5"/>
        <v>0</v>
      </c>
      <c r="J120" s="37">
        <f>MIN(VLOOKUP(B120,órabérek,2,FALSE),adatok!$B$5)</f>
        <v>0</v>
      </c>
      <c r="K120" s="37">
        <f>adatok!$B$5</f>
        <v>45</v>
      </c>
      <c r="L120" s="37">
        <f t="shared" si="7"/>
        <v>0</v>
      </c>
      <c r="M120" s="38">
        <f t="shared" si="8"/>
        <v>0</v>
      </c>
      <c r="N120" s="38">
        <f t="shared" si="9"/>
        <v>0</v>
      </c>
      <c r="O120" s="38">
        <f t="shared" si="6"/>
        <v>0</v>
      </c>
    </row>
    <row r="121" spans="1:15" x14ac:dyDescent="0.2">
      <c r="A121" s="216"/>
      <c r="B121" s="216"/>
      <c r="C121" s="216"/>
      <c r="D121" s="227"/>
      <c r="E121" s="227"/>
      <c r="F121" s="227"/>
      <c r="G121" s="227"/>
      <c r="H121" s="36">
        <f>adatok!$B$12*G121</f>
        <v>0</v>
      </c>
      <c r="I121" s="38">
        <f t="shared" si="5"/>
        <v>0</v>
      </c>
      <c r="J121" s="37">
        <f>MIN(VLOOKUP(B121,órabérek,2,FALSE),adatok!$B$5)</f>
        <v>0</v>
      </c>
      <c r="K121" s="37">
        <f>adatok!$B$5</f>
        <v>45</v>
      </c>
      <c r="L121" s="37">
        <f t="shared" si="7"/>
        <v>0</v>
      </c>
      <c r="M121" s="38">
        <f t="shared" si="8"/>
        <v>0</v>
      </c>
      <c r="N121" s="38">
        <f t="shared" si="9"/>
        <v>0</v>
      </c>
      <c r="O121" s="38">
        <f t="shared" si="6"/>
        <v>0</v>
      </c>
    </row>
    <row r="122" spans="1:15" x14ac:dyDescent="0.2">
      <c r="A122" s="216"/>
      <c r="B122" s="216"/>
      <c r="C122" s="216"/>
      <c r="D122" s="227"/>
      <c r="E122" s="227"/>
      <c r="F122" s="227"/>
      <c r="G122" s="227"/>
      <c r="H122" s="36">
        <f>adatok!$B$12*G122</f>
        <v>0</v>
      </c>
      <c r="I122" s="38">
        <f t="shared" si="5"/>
        <v>0</v>
      </c>
      <c r="J122" s="37">
        <f>MIN(VLOOKUP(B122,órabérek,2,FALSE),adatok!$B$5)</f>
        <v>0</v>
      </c>
      <c r="K122" s="37">
        <f>adatok!$B$5</f>
        <v>45</v>
      </c>
      <c r="L122" s="37">
        <f t="shared" si="7"/>
        <v>0</v>
      </c>
      <c r="M122" s="38">
        <f t="shared" si="8"/>
        <v>0</v>
      </c>
      <c r="N122" s="38">
        <f t="shared" si="9"/>
        <v>0</v>
      </c>
      <c r="O122" s="38">
        <f t="shared" si="6"/>
        <v>0</v>
      </c>
    </row>
    <row r="123" spans="1:15" x14ac:dyDescent="0.2">
      <c r="A123" s="216"/>
      <c r="B123" s="216"/>
      <c r="C123" s="216"/>
      <c r="D123" s="227"/>
      <c r="E123" s="227"/>
      <c r="F123" s="227"/>
      <c r="G123" s="227"/>
      <c r="H123" s="36">
        <f>adatok!$B$12*G123</f>
        <v>0</v>
      </c>
      <c r="I123" s="38">
        <f t="shared" si="5"/>
        <v>0</v>
      </c>
      <c r="J123" s="37">
        <f>MIN(VLOOKUP(B123,órabérek,2,FALSE),adatok!$B$5)</f>
        <v>0</v>
      </c>
      <c r="K123" s="37">
        <f>adatok!$B$5</f>
        <v>45</v>
      </c>
      <c r="L123" s="37">
        <f t="shared" si="7"/>
        <v>0</v>
      </c>
      <c r="M123" s="38">
        <f t="shared" si="8"/>
        <v>0</v>
      </c>
      <c r="N123" s="38">
        <f t="shared" si="9"/>
        <v>0</v>
      </c>
      <c r="O123" s="38">
        <f t="shared" si="6"/>
        <v>0</v>
      </c>
    </row>
    <row r="124" spans="1:15" x14ac:dyDescent="0.2">
      <c r="A124" s="216"/>
      <c r="B124" s="216"/>
      <c r="C124" s="216"/>
      <c r="D124" s="227"/>
      <c r="E124" s="227"/>
      <c r="F124" s="227"/>
      <c r="G124" s="227"/>
      <c r="H124" s="36">
        <f>adatok!$B$12*G124</f>
        <v>0</v>
      </c>
      <c r="I124" s="38">
        <f t="shared" si="5"/>
        <v>0</v>
      </c>
      <c r="J124" s="37">
        <f>MIN(VLOOKUP(B124,órabérek,2,FALSE),adatok!$B$5)</f>
        <v>0</v>
      </c>
      <c r="K124" s="37">
        <f>adatok!$B$5</f>
        <v>45</v>
      </c>
      <c r="L124" s="37">
        <f t="shared" si="7"/>
        <v>0</v>
      </c>
      <c r="M124" s="38">
        <f t="shared" si="8"/>
        <v>0</v>
      </c>
      <c r="N124" s="38">
        <f t="shared" si="9"/>
        <v>0</v>
      </c>
      <c r="O124" s="38">
        <f t="shared" si="6"/>
        <v>0</v>
      </c>
    </row>
    <row r="125" spans="1:15" x14ac:dyDescent="0.2">
      <c r="A125" s="216"/>
      <c r="B125" s="216"/>
      <c r="C125" s="216"/>
      <c r="D125" s="227"/>
      <c r="E125" s="227"/>
      <c r="F125" s="227"/>
      <c r="G125" s="227"/>
      <c r="H125" s="36">
        <f>adatok!$B$12*G125</f>
        <v>0</v>
      </c>
      <c r="I125" s="38">
        <f t="shared" si="5"/>
        <v>0</v>
      </c>
      <c r="J125" s="37">
        <f>MIN(VLOOKUP(B125,órabérek,2,FALSE),adatok!$B$5)</f>
        <v>0</v>
      </c>
      <c r="K125" s="37">
        <f>adatok!$B$5</f>
        <v>45</v>
      </c>
      <c r="L125" s="37">
        <f t="shared" si="7"/>
        <v>0</v>
      </c>
      <c r="M125" s="38">
        <f t="shared" si="8"/>
        <v>0</v>
      </c>
      <c r="N125" s="38">
        <f t="shared" si="9"/>
        <v>0</v>
      </c>
      <c r="O125" s="38">
        <f t="shared" si="6"/>
        <v>0</v>
      </c>
    </row>
    <row r="126" spans="1:15" x14ac:dyDescent="0.2">
      <c r="A126" s="216"/>
      <c r="B126" s="216"/>
      <c r="C126" s="216"/>
      <c r="D126" s="227"/>
      <c r="E126" s="227"/>
      <c r="F126" s="227"/>
      <c r="G126" s="227"/>
      <c r="H126" s="36">
        <f>adatok!$B$12*G126</f>
        <v>0</v>
      </c>
      <c r="I126" s="38">
        <f t="shared" si="5"/>
        <v>0</v>
      </c>
      <c r="J126" s="37">
        <f>MIN(VLOOKUP(B126,órabérek,2,FALSE),adatok!$B$5)</f>
        <v>0</v>
      </c>
      <c r="K126" s="37">
        <f>adatok!$B$5</f>
        <v>45</v>
      </c>
      <c r="L126" s="37">
        <f t="shared" si="7"/>
        <v>0</v>
      </c>
      <c r="M126" s="38">
        <f t="shared" si="8"/>
        <v>0</v>
      </c>
      <c r="N126" s="38">
        <f t="shared" si="9"/>
        <v>0</v>
      </c>
      <c r="O126" s="38">
        <f t="shared" si="6"/>
        <v>0</v>
      </c>
    </row>
    <row r="127" spans="1:15" x14ac:dyDescent="0.2">
      <c r="A127" s="216"/>
      <c r="B127" s="216"/>
      <c r="C127" s="216"/>
      <c r="D127" s="227"/>
      <c r="E127" s="227"/>
      <c r="F127" s="227"/>
      <c r="G127" s="227"/>
      <c r="H127" s="36">
        <f>adatok!$B$12*G127</f>
        <v>0</v>
      </c>
      <c r="I127" s="38">
        <f t="shared" si="5"/>
        <v>0</v>
      </c>
      <c r="J127" s="37">
        <f>MIN(VLOOKUP(B127,órabérek,2,FALSE),adatok!$B$5)</f>
        <v>0</v>
      </c>
      <c r="K127" s="37">
        <f>adatok!$B$5</f>
        <v>45</v>
      </c>
      <c r="L127" s="37">
        <f t="shared" si="7"/>
        <v>0</v>
      </c>
      <c r="M127" s="38">
        <f t="shared" si="8"/>
        <v>0</v>
      </c>
      <c r="N127" s="38">
        <f t="shared" si="9"/>
        <v>0</v>
      </c>
      <c r="O127" s="38">
        <f t="shared" si="6"/>
        <v>0</v>
      </c>
    </row>
    <row r="128" spans="1:15" x14ac:dyDescent="0.2">
      <c r="A128" s="216"/>
      <c r="B128" s="216"/>
      <c r="C128" s="216"/>
      <c r="D128" s="227"/>
      <c r="E128" s="227"/>
      <c r="F128" s="227"/>
      <c r="G128" s="227"/>
      <c r="H128" s="36">
        <f>adatok!$B$12*G128</f>
        <v>0</v>
      </c>
      <c r="I128" s="38">
        <f t="shared" si="5"/>
        <v>0</v>
      </c>
      <c r="J128" s="37">
        <f>MIN(VLOOKUP(B128,órabérek,2,FALSE),adatok!$B$5)</f>
        <v>0</v>
      </c>
      <c r="K128" s="37">
        <f>adatok!$B$5</f>
        <v>45</v>
      </c>
      <c r="L128" s="37">
        <f t="shared" si="7"/>
        <v>0</v>
      </c>
      <c r="M128" s="38">
        <f t="shared" si="8"/>
        <v>0</v>
      </c>
      <c r="N128" s="38">
        <f t="shared" si="9"/>
        <v>0</v>
      </c>
      <c r="O128" s="38">
        <f t="shared" si="6"/>
        <v>0</v>
      </c>
    </row>
    <row r="129" spans="1:15" x14ac:dyDescent="0.2">
      <c r="A129" s="216"/>
      <c r="B129" s="216"/>
      <c r="C129" s="216"/>
      <c r="D129" s="227"/>
      <c r="E129" s="227"/>
      <c r="F129" s="227"/>
      <c r="G129" s="227"/>
      <c r="H129" s="36">
        <f>adatok!$B$12*G129</f>
        <v>0</v>
      </c>
      <c r="I129" s="38">
        <f t="shared" ref="I129:I140" si="10">VLOOKUP(B129,órabérek,2,FALSE)</f>
        <v>0</v>
      </c>
      <c r="J129" s="37">
        <f>MIN(VLOOKUP(B129,órabérek,2,FALSE),adatok!$B$5)</f>
        <v>0</v>
      </c>
      <c r="K129" s="37">
        <f>adatok!$B$5</f>
        <v>45</v>
      </c>
      <c r="L129" s="37">
        <f t="shared" ref="L129:L140" si="11">D129*2*I129+E129*J129+INT(F129/3)*J129+H129*K129</f>
        <v>0</v>
      </c>
      <c r="M129" s="38">
        <f t="shared" ref="M129:M140" si="12">INT(L129*65%)</f>
        <v>0</v>
      </c>
      <c r="N129" s="38">
        <f t="shared" ref="N129:N140" si="13">L129-M129</f>
        <v>0</v>
      </c>
      <c r="O129" s="38">
        <f t="shared" ref="O129:O140" si="14">INT(L129*adókulcs)</f>
        <v>0</v>
      </c>
    </row>
    <row r="130" spans="1:15" x14ac:dyDescent="0.2">
      <c r="A130" s="216"/>
      <c r="B130" s="216"/>
      <c r="C130" s="216"/>
      <c r="D130" s="227"/>
      <c r="E130" s="227"/>
      <c r="F130" s="227"/>
      <c r="G130" s="227"/>
      <c r="H130" s="36">
        <f>adatok!$B$12*G130</f>
        <v>0</v>
      </c>
      <c r="I130" s="38">
        <f t="shared" si="10"/>
        <v>0</v>
      </c>
      <c r="J130" s="37">
        <f>MIN(VLOOKUP(B130,órabérek,2,FALSE),adatok!$B$5)</f>
        <v>0</v>
      </c>
      <c r="K130" s="37">
        <f>adatok!$B$5</f>
        <v>45</v>
      </c>
      <c r="L130" s="37">
        <f t="shared" si="11"/>
        <v>0</v>
      </c>
      <c r="M130" s="38">
        <f t="shared" si="12"/>
        <v>0</v>
      </c>
      <c r="N130" s="38">
        <f t="shared" si="13"/>
        <v>0</v>
      </c>
      <c r="O130" s="38">
        <f t="shared" si="14"/>
        <v>0</v>
      </c>
    </row>
    <row r="131" spans="1:15" x14ac:dyDescent="0.2">
      <c r="A131" s="216"/>
      <c r="B131" s="216"/>
      <c r="C131" s="216"/>
      <c r="D131" s="227"/>
      <c r="E131" s="227"/>
      <c r="F131" s="227"/>
      <c r="G131" s="227"/>
      <c r="H131" s="36">
        <f>adatok!$B$12*G131</f>
        <v>0</v>
      </c>
      <c r="I131" s="38">
        <f t="shared" si="10"/>
        <v>0</v>
      </c>
      <c r="J131" s="37">
        <f>MIN(VLOOKUP(B131,órabérek,2,FALSE),adatok!$B$5)</f>
        <v>0</v>
      </c>
      <c r="K131" s="37">
        <f>adatok!$B$5</f>
        <v>45</v>
      </c>
      <c r="L131" s="37">
        <f t="shared" si="11"/>
        <v>0</v>
      </c>
      <c r="M131" s="38">
        <f t="shared" si="12"/>
        <v>0</v>
      </c>
      <c r="N131" s="38">
        <f t="shared" si="13"/>
        <v>0</v>
      </c>
      <c r="O131" s="38">
        <f t="shared" si="14"/>
        <v>0</v>
      </c>
    </row>
    <row r="132" spans="1:15" x14ac:dyDescent="0.2">
      <c r="A132" s="216"/>
      <c r="B132" s="216"/>
      <c r="C132" s="216"/>
      <c r="D132" s="227"/>
      <c r="E132" s="227"/>
      <c r="F132" s="227"/>
      <c r="G132" s="227"/>
      <c r="H132" s="36">
        <f>adatok!$B$12*G132</f>
        <v>0</v>
      </c>
      <c r="I132" s="38">
        <f t="shared" si="10"/>
        <v>0</v>
      </c>
      <c r="J132" s="37">
        <f>MIN(VLOOKUP(B132,órabérek,2,FALSE),adatok!$B$5)</f>
        <v>0</v>
      </c>
      <c r="K132" s="37">
        <f>adatok!$B$5</f>
        <v>45</v>
      </c>
      <c r="L132" s="37">
        <f t="shared" si="11"/>
        <v>0</v>
      </c>
      <c r="M132" s="38">
        <f t="shared" si="12"/>
        <v>0</v>
      </c>
      <c r="N132" s="38">
        <f t="shared" si="13"/>
        <v>0</v>
      </c>
      <c r="O132" s="38">
        <f t="shared" si="14"/>
        <v>0</v>
      </c>
    </row>
    <row r="133" spans="1:15" x14ac:dyDescent="0.2">
      <c r="A133" s="216"/>
      <c r="B133" s="216"/>
      <c r="C133" s="216"/>
      <c r="D133" s="227"/>
      <c r="E133" s="227"/>
      <c r="F133" s="227"/>
      <c r="G133" s="227"/>
      <c r="H133" s="36">
        <f>adatok!$B$12*G133</f>
        <v>0</v>
      </c>
      <c r="I133" s="38">
        <f t="shared" si="10"/>
        <v>0</v>
      </c>
      <c r="J133" s="37">
        <f>MIN(VLOOKUP(B133,órabérek,2,FALSE),adatok!$B$5)</f>
        <v>0</v>
      </c>
      <c r="K133" s="37">
        <f>adatok!$B$5</f>
        <v>45</v>
      </c>
      <c r="L133" s="37">
        <f t="shared" si="11"/>
        <v>0</v>
      </c>
      <c r="M133" s="38">
        <f t="shared" si="12"/>
        <v>0</v>
      </c>
      <c r="N133" s="38">
        <f t="shared" si="13"/>
        <v>0</v>
      </c>
      <c r="O133" s="38">
        <f t="shared" si="14"/>
        <v>0</v>
      </c>
    </row>
    <row r="134" spans="1:15" x14ac:dyDescent="0.2">
      <c r="A134" s="216"/>
      <c r="B134" s="216"/>
      <c r="C134" s="216"/>
      <c r="D134" s="227"/>
      <c r="E134" s="227"/>
      <c r="F134" s="227"/>
      <c r="G134" s="227"/>
      <c r="H134" s="36">
        <f>adatok!$B$12*G134</f>
        <v>0</v>
      </c>
      <c r="I134" s="38">
        <f t="shared" si="10"/>
        <v>0</v>
      </c>
      <c r="J134" s="37">
        <f>MIN(VLOOKUP(B134,órabérek,2,FALSE),adatok!$B$5)</f>
        <v>0</v>
      </c>
      <c r="K134" s="37">
        <f>adatok!$B$5</f>
        <v>45</v>
      </c>
      <c r="L134" s="37">
        <f t="shared" si="11"/>
        <v>0</v>
      </c>
      <c r="M134" s="38">
        <f t="shared" si="12"/>
        <v>0</v>
      </c>
      <c r="N134" s="38">
        <f t="shared" si="13"/>
        <v>0</v>
      </c>
      <c r="O134" s="38">
        <f t="shared" si="14"/>
        <v>0</v>
      </c>
    </row>
    <row r="135" spans="1:15" x14ac:dyDescent="0.2">
      <c r="A135" s="216"/>
      <c r="B135" s="216"/>
      <c r="C135" s="216"/>
      <c r="D135" s="227"/>
      <c r="E135" s="227"/>
      <c r="F135" s="227"/>
      <c r="G135" s="227"/>
      <c r="H135" s="36">
        <f>adatok!$B$12*G135</f>
        <v>0</v>
      </c>
      <c r="I135" s="38">
        <f t="shared" si="10"/>
        <v>0</v>
      </c>
      <c r="J135" s="37">
        <f>MIN(VLOOKUP(B135,órabérek,2,FALSE),adatok!$B$5)</f>
        <v>0</v>
      </c>
      <c r="K135" s="37">
        <f>adatok!$B$5</f>
        <v>45</v>
      </c>
      <c r="L135" s="37">
        <f t="shared" si="11"/>
        <v>0</v>
      </c>
      <c r="M135" s="38">
        <f t="shared" si="12"/>
        <v>0</v>
      </c>
      <c r="N135" s="38">
        <f t="shared" si="13"/>
        <v>0</v>
      </c>
      <c r="O135" s="38">
        <f t="shared" si="14"/>
        <v>0</v>
      </c>
    </row>
    <row r="136" spans="1:15" x14ac:dyDescent="0.2">
      <c r="A136" s="216"/>
      <c r="B136" s="216"/>
      <c r="C136" s="216"/>
      <c r="D136" s="227"/>
      <c r="E136" s="227"/>
      <c r="F136" s="227"/>
      <c r="G136" s="227"/>
      <c r="H136" s="36">
        <f>adatok!$B$12*G136</f>
        <v>0</v>
      </c>
      <c r="I136" s="38">
        <f t="shared" si="10"/>
        <v>0</v>
      </c>
      <c r="J136" s="37">
        <f>MIN(VLOOKUP(B136,órabérek,2,FALSE),adatok!$B$5)</f>
        <v>0</v>
      </c>
      <c r="K136" s="37">
        <f>adatok!$B$5</f>
        <v>45</v>
      </c>
      <c r="L136" s="37">
        <f t="shared" si="11"/>
        <v>0</v>
      </c>
      <c r="M136" s="38">
        <f t="shared" si="12"/>
        <v>0</v>
      </c>
      <c r="N136" s="38">
        <f t="shared" si="13"/>
        <v>0</v>
      </c>
      <c r="O136" s="38">
        <f t="shared" si="14"/>
        <v>0</v>
      </c>
    </row>
    <row r="137" spans="1:15" x14ac:dyDescent="0.2">
      <c r="A137" s="216"/>
      <c r="B137" s="216"/>
      <c r="C137" s="216"/>
      <c r="D137" s="227"/>
      <c r="E137" s="227"/>
      <c r="F137" s="227"/>
      <c r="G137" s="227"/>
      <c r="H137" s="36">
        <f>adatok!$B$12*G137</f>
        <v>0</v>
      </c>
      <c r="I137" s="38">
        <f t="shared" si="10"/>
        <v>0</v>
      </c>
      <c r="J137" s="37">
        <f>MIN(VLOOKUP(B137,órabérek,2,FALSE),adatok!$B$5)</f>
        <v>0</v>
      </c>
      <c r="K137" s="37">
        <f>adatok!$B$5</f>
        <v>45</v>
      </c>
      <c r="L137" s="37">
        <f t="shared" si="11"/>
        <v>0</v>
      </c>
      <c r="M137" s="38">
        <f t="shared" si="12"/>
        <v>0</v>
      </c>
      <c r="N137" s="38">
        <f t="shared" si="13"/>
        <v>0</v>
      </c>
      <c r="O137" s="38">
        <f t="shared" si="14"/>
        <v>0</v>
      </c>
    </row>
    <row r="138" spans="1:15" x14ac:dyDescent="0.2">
      <c r="A138" s="216"/>
      <c r="B138" s="216"/>
      <c r="C138" s="216"/>
      <c r="D138" s="227"/>
      <c r="E138" s="227"/>
      <c r="F138" s="227"/>
      <c r="G138" s="227"/>
      <c r="H138" s="36">
        <f>adatok!$B$12*G138</f>
        <v>0</v>
      </c>
      <c r="I138" s="38">
        <f t="shared" si="10"/>
        <v>0</v>
      </c>
      <c r="J138" s="37">
        <f>MIN(VLOOKUP(B138,órabérek,2,FALSE),adatok!$B$5)</f>
        <v>0</v>
      </c>
      <c r="K138" s="37">
        <f>adatok!$B$5</f>
        <v>45</v>
      </c>
      <c r="L138" s="37">
        <f t="shared" si="11"/>
        <v>0</v>
      </c>
      <c r="M138" s="38">
        <f t="shared" si="12"/>
        <v>0</v>
      </c>
      <c r="N138" s="38">
        <f t="shared" si="13"/>
        <v>0</v>
      </c>
      <c r="O138" s="38">
        <f t="shared" si="14"/>
        <v>0</v>
      </c>
    </row>
    <row r="139" spans="1:15" x14ac:dyDescent="0.2">
      <c r="A139" s="216"/>
      <c r="B139" s="216"/>
      <c r="C139" s="216"/>
      <c r="D139" s="227"/>
      <c r="E139" s="227"/>
      <c r="F139" s="227"/>
      <c r="G139" s="227"/>
      <c r="H139" s="36">
        <f>adatok!$B$12*G139</f>
        <v>0</v>
      </c>
      <c r="I139" s="38">
        <f t="shared" si="10"/>
        <v>0</v>
      </c>
      <c r="J139" s="37">
        <f>MIN(VLOOKUP(B139,órabérek,2,FALSE),adatok!$B$5)</f>
        <v>0</v>
      </c>
      <c r="K139" s="37">
        <f>adatok!$B$5</f>
        <v>45</v>
      </c>
      <c r="L139" s="37">
        <f t="shared" si="11"/>
        <v>0</v>
      </c>
      <c r="M139" s="38">
        <f t="shared" si="12"/>
        <v>0</v>
      </c>
      <c r="N139" s="38">
        <f t="shared" si="13"/>
        <v>0</v>
      </c>
      <c r="O139" s="38">
        <f t="shared" si="14"/>
        <v>0</v>
      </c>
    </row>
    <row r="140" spans="1:15" x14ac:dyDescent="0.2">
      <c r="A140" s="216"/>
      <c r="B140" s="216"/>
      <c r="C140" s="216"/>
      <c r="D140" s="227"/>
      <c r="E140" s="227"/>
      <c r="F140" s="227"/>
      <c r="G140" s="227"/>
      <c r="H140" s="36">
        <f>adatok!$B$12*G140</f>
        <v>0</v>
      </c>
      <c r="I140" s="38">
        <f t="shared" si="10"/>
        <v>0</v>
      </c>
      <c r="J140" s="37">
        <f>MIN(VLOOKUP(B140,órabérek,2,FALSE),adatok!$B$5)</f>
        <v>0</v>
      </c>
      <c r="K140" s="37">
        <f>adatok!$B$5</f>
        <v>45</v>
      </c>
      <c r="L140" s="37">
        <f t="shared" si="11"/>
        <v>0</v>
      </c>
      <c r="M140" s="38">
        <f t="shared" si="12"/>
        <v>0</v>
      </c>
      <c r="N140" s="38">
        <f t="shared" si="13"/>
        <v>0</v>
      </c>
      <c r="O140" s="38">
        <f t="shared" si="14"/>
        <v>0</v>
      </c>
    </row>
    <row r="141" spans="1:15" x14ac:dyDescent="0.2">
      <c r="A141" s="216" t="s">
        <v>355</v>
      </c>
      <c r="B141" s="216"/>
      <c r="C141" s="216"/>
      <c r="D141" s="227"/>
      <c r="E141" s="227"/>
      <c r="F141" s="227"/>
      <c r="G141" s="227"/>
      <c r="H141" s="36"/>
      <c r="I141" s="38"/>
      <c r="J141" s="37"/>
      <c r="K141" s="37"/>
      <c r="L141" s="229">
        <v>0</v>
      </c>
      <c r="M141" s="38">
        <f t="shared" si="8"/>
        <v>0</v>
      </c>
      <c r="N141" s="38">
        <f t="shared" si="9"/>
        <v>0</v>
      </c>
      <c r="O141" s="38">
        <f t="shared" si="6"/>
        <v>0</v>
      </c>
    </row>
    <row r="142" spans="1:15" x14ac:dyDescent="0.2">
      <c r="A142" s="216" t="s">
        <v>356</v>
      </c>
      <c r="B142" s="216"/>
      <c r="C142" s="216"/>
      <c r="D142" s="227"/>
      <c r="E142" s="227"/>
      <c r="F142" s="227"/>
      <c r="G142" s="227"/>
      <c r="H142" s="36"/>
      <c r="I142" s="38"/>
      <c r="J142" s="37"/>
      <c r="K142" s="37"/>
      <c r="L142" s="229">
        <v>35800</v>
      </c>
      <c r="M142" s="38">
        <f t="shared" ref="M142" si="15">INT(L142*65%)</f>
        <v>23270</v>
      </c>
      <c r="N142" s="38">
        <f t="shared" ref="N142" si="16">L142-M142</f>
        <v>12530</v>
      </c>
      <c r="O142" s="38">
        <f t="shared" ref="O142" si="17">INT(L142*adókulcs)</f>
        <v>8162</v>
      </c>
    </row>
    <row r="143" spans="1:15" x14ac:dyDescent="0.2">
      <c r="A143" s="216" t="s">
        <v>357</v>
      </c>
      <c r="B143" s="216"/>
      <c r="C143" s="216"/>
      <c r="D143" s="227"/>
      <c r="E143" s="227"/>
      <c r="F143" s="227"/>
      <c r="G143" s="227"/>
      <c r="H143" s="36"/>
      <c r="I143" s="38"/>
      <c r="J143" s="37"/>
      <c r="K143" s="37"/>
      <c r="L143" s="229">
        <f>19250-900+4050</f>
        <v>22400</v>
      </c>
      <c r="M143" s="38">
        <f t="shared" ref="M143:M144" si="18">INT(L143*65%)</f>
        <v>14560</v>
      </c>
      <c r="N143" s="38">
        <f t="shared" ref="N143:N144" si="19">L143-M143</f>
        <v>7840</v>
      </c>
      <c r="O143" s="38">
        <f t="shared" ref="O143:O144" si="20">INT(L143*adókulcs)</f>
        <v>5107</v>
      </c>
    </row>
    <row r="144" spans="1:15" x14ac:dyDescent="0.2">
      <c r="A144" s="216" t="s">
        <v>358</v>
      </c>
      <c r="B144" s="216"/>
      <c r="C144" s="216"/>
      <c r="D144" s="227"/>
      <c r="E144" s="227"/>
      <c r="F144" s="227"/>
      <c r="G144" s="227"/>
      <c r="H144" s="36"/>
      <c r="I144" s="38"/>
      <c r="J144" s="37"/>
      <c r="K144" s="37"/>
      <c r="L144" s="229">
        <v>0</v>
      </c>
      <c r="M144" s="38">
        <f t="shared" si="18"/>
        <v>0</v>
      </c>
      <c r="N144" s="38">
        <f t="shared" si="19"/>
        <v>0</v>
      </c>
      <c r="O144" s="38">
        <f t="shared" si="20"/>
        <v>0</v>
      </c>
    </row>
    <row r="145" spans="2:2" x14ac:dyDescent="0.2">
      <c r="B145" s="3">
        <f>COUNTA(B9:B144)</f>
        <v>30</v>
      </c>
    </row>
  </sheetData>
  <mergeCells count="2">
    <mergeCell ref="D7:E7"/>
    <mergeCell ref="A2:B2"/>
  </mergeCells>
  <phoneticPr fontId="10" type="noConversion"/>
  <dataValidations count="2">
    <dataValidation type="list" allowBlank="1" showErrorMessage="1" sqref="B10:B68 B70:B144">
      <formula1>oktatói_fokozatok</formula1>
    </dataValidation>
    <dataValidation type="list" allowBlank="1" showErrorMessage="1" sqref="C10:C68 C70:C144">
      <formula1>tanszékek</formula1>
    </dataValidation>
  </dataValidations>
  <pageMargins left="0.74791666666666667" right="0.74791666666666667" top="0.72013888888888888" bottom="0.75" header="0.5" footer="0.5"/>
  <pageSetup paperSize="9" scale="83" firstPageNumber="0" fitToHeight="3" orientation="landscape" horizontalDpi="300" verticalDpi="300" r:id="rId1"/>
  <headerFooter alignWithMargins="0">
    <oddHeader>&amp;R&amp;D, &amp;T</oddHeader>
    <oddFooter>&amp;L&amp;F
BIZALMAS&amp;C&amp;A&amp;R&amp;P/&amp;N oldal</oddFooter>
  </headerFooter>
  <rowBreaks count="1" manualBreakCount="1">
    <brk id="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activeCell="D37" sqref="D37"/>
    </sheetView>
  </sheetViews>
  <sheetFormatPr defaultColWidth="9.140625" defaultRowHeight="12.75" x14ac:dyDescent="0.2"/>
  <cols>
    <col min="1" max="1" width="4.140625" style="2" bestFit="1" customWidth="1"/>
    <col min="2" max="2" width="19.42578125" style="2" customWidth="1"/>
    <col min="3" max="3" width="10.7109375" style="2" bestFit="1" customWidth="1"/>
    <col min="4" max="4" width="33.28515625" style="2" customWidth="1"/>
    <col min="5" max="5" width="33.85546875" style="2" bestFit="1" customWidth="1"/>
    <col min="6" max="13" width="9.85546875" style="4" customWidth="1"/>
    <col min="14" max="14" width="13.140625" style="2" bestFit="1" customWidth="1"/>
    <col min="15" max="15" width="3.42578125" style="2" customWidth="1"/>
    <col min="16" max="16" width="14.5703125" style="2" bestFit="1" customWidth="1"/>
    <col min="17" max="17" width="18.42578125" style="2" customWidth="1"/>
    <col min="18" max="18" width="18.140625" style="2" customWidth="1"/>
    <col min="19" max="16384" width="9.140625" style="2"/>
  </cols>
  <sheetData>
    <row r="1" spans="1:14" ht="12.75" customHeight="1" x14ac:dyDescent="0.2">
      <c r="A1" s="88" t="str">
        <f>Összesítő!B2</f>
        <v>EMTE - Marosvásárhelyi kar</v>
      </c>
      <c r="B1" s="10"/>
      <c r="C1" s="10"/>
      <c r="D1" s="10"/>
    </row>
    <row r="2" spans="1:14" x14ac:dyDescent="0.2">
      <c r="A2" s="10" t="s">
        <v>202</v>
      </c>
      <c r="B2" s="10"/>
      <c r="C2" s="10"/>
      <c r="D2" s="10"/>
    </row>
    <row r="3" spans="1:14" ht="12.75" customHeight="1" x14ac:dyDescent="0.2">
      <c r="B3" s="10"/>
      <c r="C3" s="10"/>
      <c r="D3" s="10"/>
      <c r="E3" s="10"/>
      <c r="F3" s="305"/>
      <c r="G3" s="305"/>
      <c r="H3" s="305"/>
      <c r="I3" s="48"/>
    </row>
    <row r="4" spans="1:14" ht="12.75" customHeight="1" x14ac:dyDescent="0.2">
      <c r="A4" s="10"/>
      <c r="B4" s="10" t="s">
        <v>143</v>
      </c>
      <c r="C4" s="50">
        <f>SUM(L13:L36)</f>
        <v>91910</v>
      </c>
      <c r="D4" s="10"/>
      <c r="E4" s="10"/>
      <c r="F4" s="305"/>
      <c r="G4" s="305"/>
      <c r="H4" s="305"/>
      <c r="I4" s="48"/>
    </row>
    <row r="5" spans="1:14" ht="12" customHeight="1" x14ac:dyDescent="0.2">
      <c r="A5" s="10"/>
      <c r="B5" s="10" t="s">
        <v>79</v>
      </c>
      <c r="C5" s="50">
        <f>SUM(M13:M36)</f>
        <v>17506.666666666672</v>
      </c>
      <c r="D5" s="10"/>
      <c r="E5" s="10"/>
      <c r="F5" s="10"/>
      <c r="G5" s="3"/>
      <c r="H5" s="3"/>
      <c r="J5" s="47"/>
    </row>
    <row r="6" spans="1:14" ht="12.75" customHeight="1" x14ac:dyDescent="0.2">
      <c r="A6" s="10"/>
      <c r="B6" s="10"/>
      <c r="C6" s="10"/>
      <c r="D6" s="10"/>
      <c r="E6" s="10"/>
      <c r="F6" s="10" t="s">
        <v>137</v>
      </c>
      <c r="G6" s="3"/>
      <c r="H6" s="3"/>
      <c r="J6" s="235">
        <v>350</v>
      </c>
    </row>
    <row r="7" spans="1:14" ht="12.75" customHeight="1" x14ac:dyDescent="0.2">
      <c r="A7" s="10"/>
      <c r="B7" s="10"/>
      <c r="C7" s="10"/>
      <c r="D7" s="10"/>
      <c r="E7" s="10"/>
      <c r="F7" s="10"/>
      <c r="G7" s="3"/>
      <c r="H7" s="3"/>
      <c r="J7" s="48"/>
    </row>
    <row r="8" spans="1:14" ht="12.75" customHeight="1" x14ac:dyDescent="0.2">
      <c r="B8" s="10"/>
      <c r="C8" s="10"/>
      <c r="D8" s="10"/>
      <c r="E8" s="10"/>
      <c r="F8" s="2"/>
      <c r="G8" s="2"/>
      <c r="K8" s="7"/>
    </row>
    <row r="9" spans="1:14" ht="12.75" customHeight="1" x14ac:dyDescent="0.2">
      <c r="B9" s="10"/>
      <c r="C9" s="10"/>
      <c r="D9" s="10"/>
      <c r="E9" s="10"/>
      <c r="F9" s="2"/>
      <c r="G9" s="2"/>
      <c r="K9" s="7"/>
    </row>
    <row r="10" spans="1:14" s="9" customFormat="1" x14ac:dyDescent="0.2">
      <c r="A10" s="2"/>
      <c r="B10" s="2"/>
      <c r="C10" s="2"/>
      <c r="D10" s="2"/>
      <c r="E10" s="2"/>
      <c r="F10" s="4"/>
      <c r="G10" s="4"/>
      <c r="H10" s="4"/>
      <c r="I10" s="4"/>
      <c r="J10" s="4"/>
      <c r="K10" s="4"/>
      <c r="L10" s="4"/>
      <c r="M10" s="4"/>
      <c r="N10" s="2"/>
    </row>
    <row r="11" spans="1:14" s="9" customFormat="1" ht="13.5" customHeight="1" x14ac:dyDescent="0.2">
      <c r="A11" s="2"/>
      <c r="B11" s="2"/>
      <c r="C11" s="2"/>
      <c r="D11" s="2"/>
      <c r="E11" s="2"/>
      <c r="F11" s="4"/>
      <c r="G11" s="4"/>
      <c r="H11" s="4"/>
      <c r="I11" s="27"/>
      <c r="J11" s="4"/>
      <c r="K11" s="3"/>
      <c r="L11" s="4"/>
      <c r="M11" s="3"/>
      <c r="N11" s="3"/>
    </row>
    <row r="12" spans="1:14" s="13" customFormat="1" ht="56.25" customHeight="1" x14ac:dyDescent="0.2">
      <c r="A12" s="35" t="s">
        <v>120</v>
      </c>
      <c r="B12" s="35" t="s">
        <v>116</v>
      </c>
      <c r="C12" s="35" t="s">
        <v>117</v>
      </c>
      <c r="D12" s="35" t="s">
        <v>135</v>
      </c>
      <c r="E12" s="35" t="s">
        <v>0</v>
      </c>
      <c r="F12" s="35" t="s">
        <v>118</v>
      </c>
      <c r="G12" s="35" t="s">
        <v>119</v>
      </c>
      <c r="H12" s="35" t="s">
        <v>136</v>
      </c>
      <c r="I12" s="35" t="s">
        <v>138</v>
      </c>
      <c r="J12" s="35" t="s">
        <v>142</v>
      </c>
      <c r="K12" s="35" t="s">
        <v>139</v>
      </c>
      <c r="L12" s="35" t="s">
        <v>140</v>
      </c>
      <c r="M12" s="35" t="s">
        <v>141</v>
      </c>
    </row>
    <row r="13" spans="1:14" s="11" customFormat="1" ht="11.25" x14ac:dyDescent="0.2">
      <c r="A13" s="39">
        <v>1</v>
      </c>
      <c r="B13" s="166" t="s">
        <v>341</v>
      </c>
      <c r="C13" s="230"/>
      <c r="D13" s="230"/>
      <c r="E13" s="230"/>
      <c r="F13" s="231"/>
      <c r="G13" s="232"/>
      <c r="H13" s="231"/>
      <c r="I13" s="49">
        <f>INT((F13+G13/3)*órabér)</f>
        <v>0</v>
      </c>
      <c r="J13" s="49">
        <f>H13*$J$6</f>
        <v>0</v>
      </c>
      <c r="K13" s="49">
        <f t="shared" ref="K13:K36" si="0">I13+J13/(1-jogdíjadó)</f>
        <v>0</v>
      </c>
      <c r="L13" s="49">
        <f>K13-M13</f>
        <v>0</v>
      </c>
      <c r="M13" s="49">
        <f t="shared" ref="M13:M36" si="1">K13*jogdíjadó</f>
        <v>0</v>
      </c>
    </row>
    <row r="14" spans="1:14" s="11" customFormat="1" ht="11.25" x14ac:dyDescent="0.2">
      <c r="A14" s="39">
        <v>2</v>
      </c>
      <c r="B14" s="268" t="s">
        <v>636</v>
      </c>
      <c r="C14" s="268" t="s">
        <v>188</v>
      </c>
      <c r="D14" s="268"/>
      <c r="E14" s="268" t="s">
        <v>170</v>
      </c>
      <c r="F14" s="267">
        <v>56</v>
      </c>
      <c r="G14" s="269">
        <v>30</v>
      </c>
      <c r="H14" s="267">
        <v>4</v>
      </c>
      <c r="I14" s="49">
        <f t="shared" ref="I14:I36" si="2">INT((F14+G14/3)*órabér)</f>
        <v>5940</v>
      </c>
      <c r="J14" s="49">
        <f t="shared" ref="J14:J36" si="3">H14*$J$6</f>
        <v>1400</v>
      </c>
      <c r="K14" s="49">
        <f t="shared" si="0"/>
        <v>7606.666666666667</v>
      </c>
      <c r="L14" s="49">
        <f t="shared" ref="L14:L36" si="4">K14-M14</f>
        <v>6389.6</v>
      </c>
      <c r="M14" s="49">
        <f t="shared" si="1"/>
        <v>1217.0666666666668</v>
      </c>
    </row>
    <row r="15" spans="1:14" s="11" customFormat="1" ht="11.25" x14ac:dyDescent="0.2">
      <c r="A15" s="39">
        <v>3</v>
      </c>
      <c r="B15" s="268" t="s">
        <v>637</v>
      </c>
      <c r="C15" s="268" t="s">
        <v>188</v>
      </c>
      <c r="D15" s="268"/>
      <c r="E15" s="268" t="s">
        <v>170</v>
      </c>
      <c r="F15" s="267">
        <v>28</v>
      </c>
      <c r="G15" s="272">
        <v>14</v>
      </c>
      <c r="H15" s="267">
        <v>3</v>
      </c>
      <c r="I15" s="49">
        <f t="shared" si="2"/>
        <v>2940</v>
      </c>
      <c r="J15" s="49">
        <f t="shared" si="3"/>
        <v>1050</v>
      </c>
      <c r="K15" s="49">
        <f t="shared" si="0"/>
        <v>4190</v>
      </c>
      <c r="L15" s="49">
        <f t="shared" si="4"/>
        <v>3519.6</v>
      </c>
      <c r="M15" s="49">
        <f t="shared" si="1"/>
        <v>670.4</v>
      </c>
    </row>
    <row r="16" spans="1:14" s="11" customFormat="1" ht="11.25" x14ac:dyDescent="0.2">
      <c r="A16" s="39">
        <v>4</v>
      </c>
      <c r="B16" s="233" t="s">
        <v>707</v>
      </c>
      <c r="C16" s="233" t="s">
        <v>188</v>
      </c>
      <c r="D16" s="233" t="s">
        <v>708</v>
      </c>
      <c r="E16" s="233" t="s">
        <v>171</v>
      </c>
      <c r="F16" s="226">
        <v>28</v>
      </c>
      <c r="G16" s="234">
        <v>14</v>
      </c>
      <c r="H16" s="226">
        <v>3</v>
      </c>
      <c r="I16" s="49">
        <f t="shared" si="2"/>
        <v>2940</v>
      </c>
      <c r="J16" s="49">
        <f t="shared" si="3"/>
        <v>1050</v>
      </c>
      <c r="K16" s="49">
        <f t="shared" si="0"/>
        <v>4190</v>
      </c>
      <c r="L16" s="49">
        <f t="shared" si="4"/>
        <v>3519.6</v>
      </c>
      <c r="M16" s="49">
        <f t="shared" si="1"/>
        <v>670.4</v>
      </c>
    </row>
    <row r="17" spans="1:13" s="11" customFormat="1" ht="11.25" x14ac:dyDescent="0.2">
      <c r="A17" s="39">
        <v>5</v>
      </c>
      <c r="B17" s="233" t="s">
        <v>709</v>
      </c>
      <c r="C17" s="233" t="s">
        <v>81</v>
      </c>
      <c r="D17" s="233" t="s">
        <v>710</v>
      </c>
      <c r="E17" s="233" t="s">
        <v>171</v>
      </c>
      <c r="F17" s="226">
        <v>70</v>
      </c>
      <c r="G17" s="234">
        <v>16</v>
      </c>
      <c r="H17" s="226">
        <v>4</v>
      </c>
      <c r="I17" s="49">
        <f t="shared" si="2"/>
        <v>6780</v>
      </c>
      <c r="J17" s="49">
        <f t="shared" si="3"/>
        <v>1400</v>
      </c>
      <c r="K17" s="49">
        <f t="shared" si="0"/>
        <v>8446.6666666666661</v>
      </c>
      <c r="L17" s="49">
        <f t="shared" si="4"/>
        <v>7095.1999999999989</v>
      </c>
      <c r="M17" s="49">
        <f t="shared" si="1"/>
        <v>1351.4666666666667</v>
      </c>
    </row>
    <row r="18" spans="1:13" s="11" customFormat="1" ht="11.25" x14ac:dyDescent="0.2">
      <c r="A18" s="39">
        <v>6</v>
      </c>
      <c r="B18" s="233" t="s">
        <v>711</v>
      </c>
      <c r="C18" s="233" t="s">
        <v>185</v>
      </c>
      <c r="D18" s="233" t="s">
        <v>712</v>
      </c>
      <c r="E18" s="233" t="s">
        <v>171</v>
      </c>
      <c r="F18" s="226">
        <v>42</v>
      </c>
      <c r="G18" s="234">
        <v>16</v>
      </c>
      <c r="H18" s="226">
        <v>4</v>
      </c>
      <c r="I18" s="49">
        <f t="shared" si="2"/>
        <v>4260</v>
      </c>
      <c r="J18" s="49">
        <f t="shared" si="3"/>
        <v>1400</v>
      </c>
      <c r="K18" s="49">
        <f t="shared" si="0"/>
        <v>5926.666666666667</v>
      </c>
      <c r="L18" s="49">
        <f t="shared" si="4"/>
        <v>4978.4000000000005</v>
      </c>
      <c r="M18" s="49">
        <f t="shared" si="1"/>
        <v>948.26666666666677</v>
      </c>
    </row>
    <row r="19" spans="1:13" s="11" customFormat="1" ht="11.25" x14ac:dyDescent="0.2">
      <c r="A19" s="39">
        <v>7</v>
      </c>
      <c r="B19" s="233" t="s">
        <v>713</v>
      </c>
      <c r="C19" s="233" t="s">
        <v>186</v>
      </c>
      <c r="D19" s="233" t="s">
        <v>714</v>
      </c>
      <c r="E19" s="233" t="s">
        <v>171</v>
      </c>
      <c r="F19" s="226">
        <v>28</v>
      </c>
      <c r="G19" s="234">
        <v>16</v>
      </c>
      <c r="H19" s="226">
        <v>3</v>
      </c>
      <c r="I19" s="49">
        <f t="shared" si="2"/>
        <v>3000</v>
      </c>
      <c r="J19" s="49">
        <f t="shared" si="3"/>
        <v>1050</v>
      </c>
      <c r="K19" s="49">
        <f t="shared" si="0"/>
        <v>4250</v>
      </c>
      <c r="L19" s="49">
        <f t="shared" si="4"/>
        <v>3570</v>
      </c>
      <c r="M19" s="49">
        <f t="shared" si="1"/>
        <v>680</v>
      </c>
    </row>
    <row r="20" spans="1:13" s="11" customFormat="1" ht="11.25" x14ac:dyDescent="0.2">
      <c r="A20" s="39">
        <v>8</v>
      </c>
      <c r="B20" s="233"/>
      <c r="C20" s="233"/>
      <c r="D20" s="233"/>
      <c r="E20" s="233"/>
      <c r="F20" s="226"/>
      <c r="G20" s="234"/>
      <c r="H20" s="226"/>
      <c r="I20" s="49">
        <f t="shared" si="2"/>
        <v>0</v>
      </c>
      <c r="J20" s="49">
        <f t="shared" si="3"/>
        <v>0</v>
      </c>
      <c r="K20" s="49">
        <f t="shared" si="0"/>
        <v>0</v>
      </c>
      <c r="L20" s="49">
        <f t="shared" si="4"/>
        <v>0</v>
      </c>
      <c r="M20" s="49">
        <f t="shared" si="1"/>
        <v>0</v>
      </c>
    </row>
    <row r="21" spans="1:13" s="11" customFormat="1" ht="11.25" x14ac:dyDescent="0.2">
      <c r="A21" s="39">
        <v>9</v>
      </c>
      <c r="B21" s="233"/>
      <c r="C21" s="233"/>
      <c r="D21" s="233"/>
      <c r="E21" s="233"/>
      <c r="F21" s="226"/>
      <c r="G21" s="234"/>
      <c r="H21" s="226"/>
      <c r="I21" s="49">
        <f t="shared" si="2"/>
        <v>0</v>
      </c>
      <c r="J21" s="49">
        <f t="shared" si="3"/>
        <v>0</v>
      </c>
      <c r="K21" s="49">
        <f t="shared" si="0"/>
        <v>0</v>
      </c>
      <c r="L21" s="49">
        <f t="shared" si="4"/>
        <v>0</v>
      </c>
      <c r="M21" s="49">
        <f t="shared" si="1"/>
        <v>0</v>
      </c>
    </row>
    <row r="22" spans="1:13" s="11" customFormat="1" ht="11.25" x14ac:dyDescent="0.2">
      <c r="A22" s="39">
        <v>10</v>
      </c>
      <c r="B22" s="233"/>
      <c r="C22" s="233"/>
      <c r="D22" s="233"/>
      <c r="E22" s="233"/>
      <c r="F22" s="226"/>
      <c r="G22" s="234"/>
      <c r="H22" s="226"/>
      <c r="I22" s="49">
        <f t="shared" si="2"/>
        <v>0</v>
      </c>
      <c r="J22" s="49">
        <f t="shared" si="3"/>
        <v>0</v>
      </c>
      <c r="K22" s="49">
        <f t="shared" si="0"/>
        <v>0</v>
      </c>
      <c r="L22" s="49">
        <f t="shared" si="4"/>
        <v>0</v>
      </c>
      <c r="M22" s="49">
        <f t="shared" si="1"/>
        <v>0</v>
      </c>
    </row>
    <row r="23" spans="1:13" s="11" customFormat="1" ht="11.25" x14ac:dyDescent="0.2">
      <c r="A23" s="39">
        <v>11</v>
      </c>
      <c r="B23" s="166" t="s">
        <v>342</v>
      </c>
      <c r="C23" s="233"/>
      <c r="D23" s="233"/>
      <c r="E23" s="233"/>
      <c r="F23" s="226"/>
      <c r="G23" s="234"/>
      <c r="H23" s="226"/>
      <c r="I23" s="49">
        <f t="shared" si="2"/>
        <v>0</v>
      </c>
      <c r="J23" s="49">
        <f t="shared" si="3"/>
        <v>0</v>
      </c>
      <c r="K23" s="49">
        <f t="shared" si="0"/>
        <v>0</v>
      </c>
      <c r="L23" s="49">
        <f t="shared" si="4"/>
        <v>0</v>
      </c>
      <c r="M23" s="49">
        <f t="shared" si="1"/>
        <v>0</v>
      </c>
    </row>
    <row r="24" spans="1:13" s="11" customFormat="1" ht="11.25" x14ac:dyDescent="0.2">
      <c r="A24" s="39">
        <v>12</v>
      </c>
      <c r="B24" s="233" t="s">
        <v>625</v>
      </c>
      <c r="C24" s="233" t="s">
        <v>81</v>
      </c>
      <c r="D24" s="233" t="s">
        <v>626</v>
      </c>
      <c r="E24" s="233" t="s">
        <v>174</v>
      </c>
      <c r="F24" s="226">
        <v>84</v>
      </c>
      <c r="G24" s="234">
        <v>7</v>
      </c>
      <c r="H24" s="226">
        <v>3</v>
      </c>
      <c r="I24" s="49">
        <f t="shared" si="2"/>
        <v>7770</v>
      </c>
      <c r="J24" s="49">
        <f t="shared" si="3"/>
        <v>1050</v>
      </c>
      <c r="K24" s="49">
        <f t="shared" si="0"/>
        <v>9020</v>
      </c>
      <c r="L24" s="49">
        <f t="shared" si="4"/>
        <v>7576.8</v>
      </c>
      <c r="M24" s="49">
        <f t="shared" si="1"/>
        <v>1443.2</v>
      </c>
    </row>
    <row r="25" spans="1:13" s="11" customFormat="1" ht="11.25" x14ac:dyDescent="0.2">
      <c r="A25" s="39">
        <v>13</v>
      </c>
      <c r="B25" s="271" t="s">
        <v>636</v>
      </c>
      <c r="C25" s="271" t="s">
        <v>188</v>
      </c>
      <c r="D25" s="271"/>
      <c r="E25" s="271" t="s">
        <v>170</v>
      </c>
      <c r="F25" s="270">
        <v>56</v>
      </c>
      <c r="G25" s="272">
        <v>30</v>
      </c>
      <c r="H25" s="270">
        <v>4</v>
      </c>
      <c r="I25" s="49">
        <f t="shared" si="2"/>
        <v>5940</v>
      </c>
      <c r="J25" s="49">
        <f t="shared" si="3"/>
        <v>1400</v>
      </c>
      <c r="K25" s="49">
        <f t="shared" si="0"/>
        <v>7606.666666666667</v>
      </c>
      <c r="L25" s="49">
        <f t="shared" si="4"/>
        <v>6389.6</v>
      </c>
      <c r="M25" s="49">
        <f t="shared" si="1"/>
        <v>1217.0666666666668</v>
      </c>
    </row>
    <row r="26" spans="1:13" s="11" customFormat="1" ht="11.25" x14ac:dyDescent="0.2">
      <c r="A26" s="39">
        <v>14</v>
      </c>
      <c r="B26" s="271" t="s">
        <v>638</v>
      </c>
      <c r="C26" s="271" t="s">
        <v>188</v>
      </c>
      <c r="D26" s="271"/>
      <c r="E26" s="271" t="s">
        <v>170</v>
      </c>
      <c r="F26" s="270">
        <v>56</v>
      </c>
      <c r="G26" s="272">
        <v>30</v>
      </c>
      <c r="H26" s="270">
        <v>4</v>
      </c>
      <c r="I26" s="49">
        <f t="shared" si="2"/>
        <v>5940</v>
      </c>
      <c r="J26" s="49">
        <f t="shared" si="3"/>
        <v>1400</v>
      </c>
      <c r="K26" s="49">
        <f t="shared" si="0"/>
        <v>7606.666666666667</v>
      </c>
      <c r="L26" s="49">
        <f t="shared" si="4"/>
        <v>6389.6</v>
      </c>
      <c r="M26" s="49">
        <f t="shared" si="1"/>
        <v>1217.0666666666668</v>
      </c>
    </row>
    <row r="27" spans="1:13" s="11" customFormat="1" ht="11.25" x14ac:dyDescent="0.2">
      <c r="A27" s="39">
        <v>15</v>
      </c>
      <c r="B27" s="271" t="s">
        <v>639</v>
      </c>
      <c r="C27" s="271" t="s">
        <v>188</v>
      </c>
      <c r="D27" s="271"/>
      <c r="E27" s="271" t="s">
        <v>170</v>
      </c>
      <c r="F27" s="270">
        <v>56</v>
      </c>
      <c r="G27" s="272">
        <v>30</v>
      </c>
      <c r="H27" s="270">
        <v>4</v>
      </c>
      <c r="I27" s="49">
        <f t="shared" si="2"/>
        <v>5940</v>
      </c>
      <c r="J27" s="49">
        <f t="shared" si="3"/>
        <v>1400</v>
      </c>
      <c r="K27" s="49">
        <f t="shared" si="0"/>
        <v>7606.666666666667</v>
      </c>
      <c r="L27" s="49">
        <f t="shared" si="4"/>
        <v>6389.6</v>
      </c>
      <c r="M27" s="49">
        <f t="shared" si="1"/>
        <v>1217.0666666666668</v>
      </c>
    </row>
    <row r="28" spans="1:13" s="11" customFormat="1" ht="11.25" x14ac:dyDescent="0.2">
      <c r="A28" s="39">
        <v>16</v>
      </c>
      <c r="B28" s="271" t="s">
        <v>715</v>
      </c>
      <c r="C28" s="271" t="s">
        <v>188</v>
      </c>
      <c r="D28" s="271" t="s">
        <v>716</v>
      </c>
      <c r="E28" s="271" t="s">
        <v>171</v>
      </c>
      <c r="F28" s="270">
        <v>70</v>
      </c>
      <c r="G28" s="272">
        <v>26</v>
      </c>
      <c r="H28" s="270">
        <v>4</v>
      </c>
      <c r="I28" s="49">
        <f t="shared" ref="I28:I31" si="5">INT((F28+G28/3)*órabér)</f>
        <v>7080</v>
      </c>
      <c r="J28" s="49">
        <f t="shared" ref="J28:J31" si="6">H28*$J$6</f>
        <v>1400</v>
      </c>
      <c r="K28" s="49">
        <f t="shared" ref="K28:K31" si="7">I28+J28/(1-jogdíjadó)</f>
        <v>8746.6666666666661</v>
      </c>
      <c r="L28" s="49">
        <f t="shared" ref="L28:L31" si="8">K28-M28</f>
        <v>7347.1999999999989</v>
      </c>
      <c r="M28" s="49">
        <f t="shared" ref="M28:M31" si="9">K28*jogdíjadó</f>
        <v>1399.4666666666667</v>
      </c>
    </row>
    <row r="29" spans="1:13" s="11" customFormat="1" ht="11.25" x14ac:dyDescent="0.2">
      <c r="A29" s="39">
        <v>17</v>
      </c>
      <c r="B29" s="271" t="s">
        <v>717</v>
      </c>
      <c r="C29" s="271" t="s">
        <v>188</v>
      </c>
      <c r="D29" s="271" t="s">
        <v>718</v>
      </c>
      <c r="E29" s="271" t="s">
        <v>171</v>
      </c>
      <c r="F29" s="270">
        <v>154</v>
      </c>
      <c r="G29" s="272">
        <v>14</v>
      </c>
      <c r="H29" s="270"/>
      <c r="I29" s="49">
        <f t="shared" si="5"/>
        <v>14280</v>
      </c>
      <c r="J29" s="49">
        <f t="shared" si="6"/>
        <v>0</v>
      </c>
      <c r="K29" s="49">
        <f t="shared" si="7"/>
        <v>14280</v>
      </c>
      <c r="L29" s="49">
        <f t="shared" si="8"/>
        <v>11995.2</v>
      </c>
      <c r="M29" s="49">
        <f t="shared" si="9"/>
        <v>2284.8000000000002</v>
      </c>
    </row>
    <row r="30" spans="1:13" s="11" customFormat="1" ht="11.25" x14ac:dyDescent="0.2">
      <c r="A30" s="39">
        <v>18</v>
      </c>
      <c r="B30" s="271" t="s">
        <v>719</v>
      </c>
      <c r="C30" s="271" t="s">
        <v>186</v>
      </c>
      <c r="D30" s="271" t="s">
        <v>720</v>
      </c>
      <c r="E30" s="271" t="s">
        <v>171</v>
      </c>
      <c r="F30" s="270">
        <v>56</v>
      </c>
      <c r="G30" s="272">
        <v>26</v>
      </c>
      <c r="H30" s="270">
        <v>3</v>
      </c>
      <c r="I30" s="49">
        <f t="shared" si="5"/>
        <v>5820</v>
      </c>
      <c r="J30" s="49">
        <f t="shared" si="6"/>
        <v>1050</v>
      </c>
      <c r="K30" s="49">
        <f t="shared" si="7"/>
        <v>7070</v>
      </c>
      <c r="L30" s="49">
        <f t="shared" si="8"/>
        <v>5938.8</v>
      </c>
      <c r="M30" s="49">
        <f t="shared" si="9"/>
        <v>1131.2</v>
      </c>
    </row>
    <row r="31" spans="1:13" s="11" customFormat="1" ht="11.25" x14ac:dyDescent="0.2">
      <c r="A31" s="39">
        <v>19</v>
      </c>
      <c r="B31" s="271" t="s">
        <v>721</v>
      </c>
      <c r="C31" s="271" t="s">
        <v>81</v>
      </c>
      <c r="D31" s="271" t="s">
        <v>722</v>
      </c>
      <c r="E31" s="271" t="s">
        <v>171</v>
      </c>
      <c r="F31" s="270">
        <v>14</v>
      </c>
      <c r="G31" s="272">
        <v>26</v>
      </c>
      <c r="H31" s="270">
        <v>3</v>
      </c>
      <c r="I31" s="49">
        <f t="shared" si="5"/>
        <v>2040</v>
      </c>
      <c r="J31" s="49">
        <f t="shared" si="6"/>
        <v>1050</v>
      </c>
      <c r="K31" s="49">
        <f t="shared" si="7"/>
        <v>3290</v>
      </c>
      <c r="L31" s="49">
        <f t="shared" si="8"/>
        <v>2763.6</v>
      </c>
      <c r="M31" s="49">
        <f t="shared" si="9"/>
        <v>526.4</v>
      </c>
    </row>
    <row r="32" spans="1:13" s="11" customFormat="1" ht="11.25" x14ac:dyDescent="0.2">
      <c r="A32" s="39">
        <v>20</v>
      </c>
      <c r="B32" s="271" t="s">
        <v>723</v>
      </c>
      <c r="C32" s="271" t="s">
        <v>188</v>
      </c>
      <c r="D32" s="271" t="s">
        <v>724</v>
      </c>
      <c r="E32" s="271" t="s">
        <v>171</v>
      </c>
      <c r="F32" s="270">
        <v>28</v>
      </c>
      <c r="G32" s="272">
        <v>13</v>
      </c>
      <c r="H32" s="270">
        <v>3</v>
      </c>
      <c r="I32" s="49">
        <f t="shared" si="2"/>
        <v>2910</v>
      </c>
      <c r="J32" s="49">
        <f t="shared" si="3"/>
        <v>1050</v>
      </c>
      <c r="K32" s="49">
        <f t="shared" si="0"/>
        <v>4160</v>
      </c>
      <c r="L32" s="49">
        <f t="shared" si="4"/>
        <v>3494.4</v>
      </c>
      <c r="M32" s="49">
        <f t="shared" si="1"/>
        <v>665.6</v>
      </c>
    </row>
    <row r="33" spans="1:13" s="11" customFormat="1" ht="11.25" x14ac:dyDescent="0.2">
      <c r="A33" s="39">
        <v>21</v>
      </c>
      <c r="B33" s="271" t="s">
        <v>725</v>
      </c>
      <c r="C33" s="271" t="s">
        <v>188</v>
      </c>
      <c r="D33" s="271" t="s">
        <v>726</v>
      </c>
      <c r="E33" s="271" t="s">
        <v>171</v>
      </c>
      <c r="F33" s="270">
        <v>42</v>
      </c>
      <c r="G33" s="272">
        <v>13</v>
      </c>
      <c r="H33" s="270">
        <v>3</v>
      </c>
      <c r="I33" s="49">
        <f t="shared" si="2"/>
        <v>4170</v>
      </c>
      <c r="J33" s="49">
        <f t="shared" si="3"/>
        <v>1050</v>
      </c>
      <c r="K33" s="49">
        <f t="shared" si="0"/>
        <v>5420</v>
      </c>
      <c r="L33" s="49">
        <f t="shared" si="4"/>
        <v>4552.8</v>
      </c>
      <c r="M33" s="49">
        <f t="shared" si="1"/>
        <v>867.2</v>
      </c>
    </row>
    <row r="34" spans="1:13" s="11" customFormat="1" ht="13.5" customHeight="1" x14ac:dyDescent="0.2">
      <c r="A34" s="39">
        <v>22</v>
      </c>
      <c r="B34" s="233"/>
      <c r="C34" s="233"/>
      <c r="D34" s="233"/>
      <c r="E34" s="233"/>
      <c r="F34" s="226"/>
      <c r="G34" s="234"/>
      <c r="H34" s="226"/>
      <c r="I34" s="49">
        <f t="shared" si="2"/>
        <v>0</v>
      </c>
      <c r="J34" s="49">
        <f t="shared" si="3"/>
        <v>0</v>
      </c>
      <c r="K34" s="49">
        <f t="shared" si="0"/>
        <v>0</v>
      </c>
      <c r="L34" s="49">
        <f t="shared" si="4"/>
        <v>0</v>
      </c>
      <c r="M34" s="49">
        <f t="shared" si="1"/>
        <v>0</v>
      </c>
    </row>
    <row r="35" spans="1:13" s="11" customFormat="1" ht="13.5" customHeight="1" x14ac:dyDescent="0.2">
      <c r="A35" s="39">
        <v>23</v>
      </c>
      <c r="B35" s="233"/>
      <c r="C35" s="233"/>
      <c r="D35" s="233"/>
      <c r="E35" s="233"/>
      <c r="F35" s="226"/>
      <c r="G35" s="234"/>
      <c r="H35" s="226"/>
      <c r="I35" s="49">
        <f t="shared" si="2"/>
        <v>0</v>
      </c>
      <c r="J35" s="49">
        <f t="shared" si="3"/>
        <v>0</v>
      </c>
      <c r="K35" s="49">
        <f t="shared" si="0"/>
        <v>0</v>
      </c>
      <c r="L35" s="49">
        <f t="shared" si="4"/>
        <v>0</v>
      </c>
      <c r="M35" s="49">
        <f t="shared" si="1"/>
        <v>0</v>
      </c>
    </row>
    <row r="36" spans="1:13" s="11" customFormat="1" ht="13.5" customHeight="1" x14ac:dyDescent="0.2">
      <c r="A36" s="39">
        <v>24</v>
      </c>
      <c r="B36" s="233"/>
      <c r="C36" s="233"/>
      <c r="D36" s="233"/>
      <c r="E36" s="233"/>
      <c r="F36" s="226"/>
      <c r="G36" s="234"/>
      <c r="H36" s="226"/>
      <c r="I36" s="49">
        <f t="shared" si="2"/>
        <v>0</v>
      </c>
      <c r="J36" s="49">
        <f t="shared" si="3"/>
        <v>0</v>
      </c>
      <c r="K36" s="49">
        <f t="shared" si="0"/>
        <v>0</v>
      </c>
      <c r="L36" s="49">
        <f t="shared" si="4"/>
        <v>0</v>
      </c>
      <c r="M36" s="49">
        <f t="shared" si="1"/>
        <v>0</v>
      </c>
    </row>
    <row r="37" spans="1:13" x14ac:dyDescent="0.2">
      <c r="C37" s="2">
        <f>COUNTA(C13:C36)</f>
        <v>16</v>
      </c>
    </row>
    <row r="57" ht="12.75" customHeight="1" x14ac:dyDescent="0.2"/>
  </sheetData>
  <sheetProtection selectLockedCells="1"/>
  <mergeCells count="2">
    <mergeCell ref="F3:H3"/>
    <mergeCell ref="F4:H4"/>
  </mergeCells>
  <phoneticPr fontId="10" type="noConversion"/>
  <dataValidations disablePrompts="1" count="3">
    <dataValidation allowBlank="1" showInputMessage="1" showErrorMessage="1" errorTitle="Hiba" error="Érvénytelen adat" sqref="D13:D36"/>
    <dataValidation type="list" allowBlank="1" showInputMessage="1" showErrorMessage="1" sqref="C13:C36">
      <formula1>oktatói_fokozatok</formula1>
    </dataValidation>
    <dataValidation type="list" allowBlank="1" showInputMessage="1" showErrorMessage="1" sqref="E13:E36">
      <formula1>tanszékek</formula1>
    </dataValidation>
  </dataValidations>
  <pageMargins left="0.19685039370078741" right="0.19685039370078741" top="0.55118110236220474" bottom="0.74803149606299213" header="0.27559055118110237" footer="0.51181102362204722"/>
  <pageSetup paperSize="9" scale="81" orientation="landscape" horizontalDpi="1200" verticalDpi="1200" r:id="rId1"/>
  <headerFooter alignWithMargins="0">
    <oddHeader>&amp;R&amp;D, &amp;T</oddHeader>
    <oddFooter>&amp;L&amp;F
BIZALMAS&amp;C&amp;A&amp;R&amp;P/&amp;N oldal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C20" sqref="C20"/>
    </sheetView>
  </sheetViews>
  <sheetFormatPr defaultColWidth="9.140625" defaultRowHeight="12.75" x14ac:dyDescent="0.2"/>
  <cols>
    <col min="1" max="1" width="23.5703125" style="3" customWidth="1"/>
    <col min="2" max="2" width="40.28515625" style="3" customWidth="1"/>
    <col min="3" max="3" width="12.140625" style="3" bestFit="1" customWidth="1"/>
    <col min="4" max="4" width="8.5703125" style="3" customWidth="1"/>
    <col min="5" max="5" width="8.5703125" style="170" customWidth="1"/>
    <col min="6" max="6" width="9.7109375" style="170" customWidth="1"/>
    <col min="7" max="7" width="8.5703125" style="170" customWidth="1"/>
    <col min="8" max="8" width="6.85546875" style="170" bestFit="1" customWidth="1"/>
    <col min="9" max="9" width="3.85546875" style="3" customWidth="1"/>
    <col min="10" max="10" width="12.140625" style="3" customWidth="1"/>
    <col min="11" max="11" width="10.28515625" style="3" bestFit="1" customWidth="1"/>
    <col min="12" max="16384" width="9.140625" style="3"/>
  </cols>
  <sheetData>
    <row r="1" spans="1:9" ht="25.5" x14ac:dyDescent="0.2">
      <c r="A1" s="228" t="str">
        <f>Összesítő!B2</f>
        <v>EMTE - Marosvásárhelyi kar</v>
      </c>
    </row>
    <row r="2" spans="1:9" s="86" customFormat="1" ht="12" thickBot="1" x14ac:dyDescent="0.25">
      <c r="A2" s="310" t="s">
        <v>391</v>
      </c>
      <c r="B2" s="310"/>
      <c r="C2" s="109"/>
      <c r="D2" s="110">
        <f>SUM(D3:D6)</f>
        <v>0</v>
      </c>
    </row>
    <row r="3" spans="1:9" s="12" customFormat="1" ht="12" thickTop="1" x14ac:dyDescent="0.2">
      <c r="A3" s="52" t="s">
        <v>101</v>
      </c>
      <c r="B3" s="31"/>
      <c r="C3" s="31"/>
      <c r="D3" s="54">
        <f>SUMPRODUCT(E10:E25,H10:H25)</f>
        <v>0</v>
      </c>
      <c r="E3" s="56"/>
    </row>
    <row r="4" spans="1:9" s="12" customFormat="1" ht="11.25" x14ac:dyDescent="0.2">
      <c r="A4" s="52" t="s">
        <v>258</v>
      </c>
      <c r="B4" s="31"/>
      <c r="C4" s="31"/>
      <c r="D4" s="54">
        <f>SUMPRODUCT(F10:F25,H10:H25)</f>
        <v>0</v>
      </c>
      <c r="F4" s="56"/>
    </row>
    <row r="5" spans="1:9" s="12" customFormat="1" ht="11.25" x14ac:dyDescent="0.2">
      <c r="A5" s="52" t="s">
        <v>104</v>
      </c>
      <c r="B5" s="31"/>
      <c r="C5" s="31"/>
      <c r="D5" s="54">
        <f>SUMPRODUCT(G10:G25,H10:H25)</f>
        <v>0</v>
      </c>
      <c r="F5" s="56"/>
    </row>
    <row r="6" spans="1:9" s="12" customFormat="1" ht="11.25" x14ac:dyDescent="0.2">
      <c r="A6" s="52"/>
      <c r="B6" s="31"/>
      <c r="C6" s="31"/>
      <c r="D6" s="54"/>
      <c r="F6" s="56"/>
    </row>
    <row r="7" spans="1:9" x14ac:dyDescent="0.2">
      <c r="A7" s="31"/>
      <c r="B7" s="31"/>
      <c r="C7" s="31"/>
      <c r="D7" s="12"/>
      <c r="E7" s="27"/>
      <c r="G7" s="7"/>
    </row>
    <row r="8" spans="1:9" x14ac:dyDescent="0.2">
      <c r="I8" s="8"/>
    </row>
    <row r="9" spans="1:9" s="33" customFormat="1" ht="33.75" x14ac:dyDescent="0.2">
      <c r="A9" s="172" t="s">
        <v>96</v>
      </c>
      <c r="B9" s="172" t="s">
        <v>102</v>
      </c>
      <c r="C9" s="172" t="s">
        <v>103</v>
      </c>
      <c r="D9" s="172" t="s">
        <v>392</v>
      </c>
      <c r="E9" s="172" t="s">
        <v>385</v>
      </c>
      <c r="F9" s="219" t="s">
        <v>92</v>
      </c>
      <c r="G9" s="219" t="s">
        <v>91</v>
      </c>
      <c r="H9" s="219" t="s">
        <v>393</v>
      </c>
      <c r="I9" s="12"/>
    </row>
    <row r="10" spans="1:9" s="12" customFormat="1" ht="11.25" x14ac:dyDescent="0.2">
      <c r="A10" s="216"/>
      <c r="B10" s="216"/>
      <c r="C10" s="216"/>
      <c r="D10" s="236"/>
      <c r="E10" s="40">
        <f t="shared" ref="E10:E24" si="0">ROUNDUP(D10*70%,0)</f>
        <v>0</v>
      </c>
      <c r="F10" s="40">
        <f t="shared" ref="F10:F25" si="1">D10-E10</f>
        <v>0</v>
      </c>
      <c r="G10" s="40">
        <f t="shared" ref="G10:G24" si="2">ROUNDUP(D10*adókulcs,0)</f>
        <v>0</v>
      </c>
      <c r="H10" s="237">
        <v>5</v>
      </c>
    </row>
    <row r="11" spans="1:9" s="12" customFormat="1" ht="11.25" x14ac:dyDescent="0.2">
      <c r="A11" s="216"/>
      <c r="B11" s="216"/>
      <c r="C11" s="216"/>
      <c r="D11" s="236"/>
      <c r="E11" s="40">
        <f t="shared" si="0"/>
        <v>0</v>
      </c>
      <c r="F11" s="40">
        <f t="shared" si="1"/>
        <v>0</v>
      </c>
      <c r="G11" s="40">
        <f t="shared" si="2"/>
        <v>0</v>
      </c>
      <c r="H11" s="237">
        <v>5</v>
      </c>
    </row>
    <row r="12" spans="1:9" s="12" customFormat="1" ht="11.25" x14ac:dyDescent="0.2">
      <c r="A12" s="216"/>
      <c r="B12" s="216"/>
      <c r="C12" s="216"/>
      <c r="D12" s="236"/>
      <c r="E12" s="40">
        <f>ROUNDUP(D12*70%,0)</f>
        <v>0</v>
      </c>
      <c r="F12" s="40">
        <f t="shared" si="1"/>
        <v>0</v>
      </c>
      <c r="G12" s="40">
        <f>ROUNDUP(D12*adókulcs,0)</f>
        <v>0</v>
      </c>
      <c r="H12" s="237">
        <v>5</v>
      </c>
    </row>
    <row r="13" spans="1:9" s="12" customFormat="1" ht="11.25" x14ac:dyDescent="0.2">
      <c r="A13" s="216"/>
      <c r="B13" s="216"/>
      <c r="C13" s="216"/>
      <c r="D13" s="236"/>
      <c r="E13" s="40">
        <f t="shared" si="0"/>
        <v>0</v>
      </c>
      <c r="F13" s="40">
        <f t="shared" si="1"/>
        <v>0</v>
      </c>
      <c r="G13" s="40">
        <f t="shared" si="2"/>
        <v>0</v>
      </c>
      <c r="H13" s="237">
        <v>5</v>
      </c>
    </row>
    <row r="14" spans="1:9" s="12" customFormat="1" ht="11.25" x14ac:dyDescent="0.2">
      <c r="A14" s="216"/>
      <c r="B14" s="216"/>
      <c r="C14" s="216"/>
      <c r="D14" s="236"/>
      <c r="E14" s="40">
        <f t="shared" si="0"/>
        <v>0</v>
      </c>
      <c r="F14" s="40">
        <f t="shared" si="1"/>
        <v>0</v>
      </c>
      <c r="G14" s="40">
        <f t="shared" si="2"/>
        <v>0</v>
      </c>
      <c r="H14" s="237">
        <v>5</v>
      </c>
    </row>
    <row r="15" spans="1:9" s="12" customFormat="1" ht="11.25" x14ac:dyDescent="0.2">
      <c r="A15" s="216"/>
      <c r="B15" s="216"/>
      <c r="C15" s="216"/>
      <c r="D15" s="236"/>
      <c r="E15" s="40">
        <f t="shared" si="0"/>
        <v>0</v>
      </c>
      <c r="F15" s="40">
        <f t="shared" si="1"/>
        <v>0</v>
      </c>
      <c r="G15" s="40">
        <f t="shared" si="2"/>
        <v>0</v>
      </c>
      <c r="H15" s="237">
        <v>5</v>
      </c>
    </row>
    <row r="16" spans="1:9" s="12" customFormat="1" ht="11.25" x14ac:dyDescent="0.2">
      <c r="A16" s="216"/>
      <c r="B16" s="216"/>
      <c r="C16" s="216"/>
      <c r="D16" s="236"/>
      <c r="E16" s="40">
        <f t="shared" si="0"/>
        <v>0</v>
      </c>
      <c r="F16" s="40">
        <f t="shared" si="1"/>
        <v>0</v>
      </c>
      <c r="G16" s="40">
        <f t="shared" si="2"/>
        <v>0</v>
      </c>
      <c r="H16" s="237">
        <v>5</v>
      </c>
    </row>
    <row r="17" spans="1:8" s="12" customFormat="1" ht="11.25" x14ac:dyDescent="0.2">
      <c r="A17" s="216"/>
      <c r="B17" s="216"/>
      <c r="C17" s="216"/>
      <c r="D17" s="236"/>
      <c r="E17" s="40">
        <f t="shared" si="0"/>
        <v>0</v>
      </c>
      <c r="F17" s="40">
        <f t="shared" si="1"/>
        <v>0</v>
      </c>
      <c r="G17" s="40">
        <f t="shared" si="2"/>
        <v>0</v>
      </c>
      <c r="H17" s="237">
        <v>5</v>
      </c>
    </row>
    <row r="18" spans="1:8" s="12" customFormat="1" ht="11.25" x14ac:dyDescent="0.2">
      <c r="A18" s="216"/>
      <c r="B18" s="216"/>
      <c r="C18" s="216"/>
      <c r="D18" s="236"/>
      <c r="E18" s="40">
        <f t="shared" si="0"/>
        <v>0</v>
      </c>
      <c r="F18" s="40">
        <f t="shared" si="1"/>
        <v>0</v>
      </c>
      <c r="G18" s="40">
        <f t="shared" si="2"/>
        <v>0</v>
      </c>
      <c r="H18" s="237">
        <v>5</v>
      </c>
    </row>
    <row r="19" spans="1:8" s="12" customFormat="1" ht="11.25" x14ac:dyDescent="0.2">
      <c r="A19" s="216"/>
      <c r="B19" s="216"/>
      <c r="C19" s="216"/>
      <c r="D19" s="236"/>
      <c r="E19" s="40">
        <f t="shared" si="0"/>
        <v>0</v>
      </c>
      <c r="F19" s="40">
        <f t="shared" si="1"/>
        <v>0</v>
      </c>
      <c r="G19" s="40">
        <f t="shared" si="2"/>
        <v>0</v>
      </c>
      <c r="H19" s="237">
        <v>5</v>
      </c>
    </row>
    <row r="20" spans="1:8" s="12" customFormat="1" ht="11.25" x14ac:dyDescent="0.2">
      <c r="A20" s="216"/>
      <c r="B20" s="216"/>
      <c r="C20" s="216"/>
      <c r="D20" s="236"/>
      <c r="E20" s="40">
        <f t="shared" si="0"/>
        <v>0</v>
      </c>
      <c r="F20" s="40">
        <f t="shared" si="1"/>
        <v>0</v>
      </c>
      <c r="G20" s="40">
        <f t="shared" si="2"/>
        <v>0</v>
      </c>
      <c r="H20" s="237">
        <v>5</v>
      </c>
    </row>
    <row r="21" spans="1:8" s="12" customFormat="1" ht="11.25" x14ac:dyDescent="0.2">
      <c r="A21" s="216"/>
      <c r="B21" s="216"/>
      <c r="C21" s="216"/>
      <c r="D21" s="236"/>
      <c r="E21" s="40">
        <f t="shared" si="0"/>
        <v>0</v>
      </c>
      <c r="F21" s="40">
        <f t="shared" si="1"/>
        <v>0</v>
      </c>
      <c r="G21" s="40">
        <f t="shared" si="2"/>
        <v>0</v>
      </c>
      <c r="H21" s="237">
        <v>5</v>
      </c>
    </row>
    <row r="22" spans="1:8" s="12" customFormat="1" ht="11.25" x14ac:dyDescent="0.2">
      <c r="A22" s="216"/>
      <c r="B22" s="216"/>
      <c r="C22" s="216"/>
      <c r="D22" s="236"/>
      <c r="E22" s="40">
        <f t="shared" si="0"/>
        <v>0</v>
      </c>
      <c r="F22" s="40">
        <f t="shared" si="1"/>
        <v>0</v>
      </c>
      <c r="G22" s="40">
        <f t="shared" si="2"/>
        <v>0</v>
      </c>
      <c r="H22" s="237">
        <v>5</v>
      </c>
    </row>
    <row r="23" spans="1:8" s="12" customFormat="1" ht="11.25" x14ac:dyDescent="0.2">
      <c r="A23" s="216"/>
      <c r="B23" s="216"/>
      <c r="C23" s="216"/>
      <c r="D23" s="236"/>
      <c r="E23" s="40">
        <f t="shared" si="0"/>
        <v>0</v>
      </c>
      <c r="F23" s="40">
        <f t="shared" si="1"/>
        <v>0</v>
      </c>
      <c r="G23" s="40">
        <f t="shared" si="2"/>
        <v>0</v>
      </c>
      <c r="H23" s="237">
        <v>5</v>
      </c>
    </row>
    <row r="24" spans="1:8" s="12" customFormat="1" ht="11.25" x14ac:dyDescent="0.2">
      <c r="A24" s="216"/>
      <c r="B24" s="216"/>
      <c r="C24" s="216"/>
      <c r="D24" s="236"/>
      <c r="E24" s="40">
        <f t="shared" si="0"/>
        <v>0</v>
      </c>
      <c r="F24" s="40">
        <f t="shared" si="1"/>
        <v>0</v>
      </c>
      <c r="G24" s="40">
        <f t="shared" si="2"/>
        <v>0</v>
      </c>
      <c r="H24" s="237">
        <v>5</v>
      </c>
    </row>
    <row r="25" spans="1:8" s="12" customFormat="1" ht="11.25" x14ac:dyDescent="0.2">
      <c r="A25" s="216"/>
      <c r="B25" s="216"/>
      <c r="C25" s="216"/>
      <c r="D25" s="236"/>
      <c r="E25" s="40">
        <f>ROUNDUP(D25*70%,0)</f>
        <v>0</v>
      </c>
      <c r="F25" s="40">
        <f t="shared" si="1"/>
        <v>0</v>
      </c>
      <c r="G25" s="40">
        <f>ROUNDUP(D25*adókulcs,0)</f>
        <v>0</v>
      </c>
      <c r="H25" s="237">
        <v>5</v>
      </c>
    </row>
    <row r="26" spans="1:8" s="12" customFormat="1" ht="11.25" x14ac:dyDescent="0.2">
      <c r="B26" s="12">
        <f>COUNTA(B10:B25)</f>
        <v>0</v>
      </c>
      <c r="E26" s="162"/>
      <c r="F26" s="162"/>
      <c r="G26" s="162"/>
      <c r="H26" s="162"/>
    </row>
    <row r="27" spans="1:8" s="12" customFormat="1" ht="11.25" x14ac:dyDescent="0.2">
      <c r="E27" s="162"/>
      <c r="F27" s="162"/>
      <c r="G27" s="162"/>
      <c r="H27" s="162"/>
    </row>
    <row r="28" spans="1:8" s="12" customFormat="1" ht="11.25" x14ac:dyDescent="0.2">
      <c r="E28" s="162"/>
      <c r="F28" s="162"/>
      <c r="G28" s="162"/>
      <c r="H28" s="162"/>
    </row>
    <row r="29" spans="1:8" s="12" customFormat="1" ht="11.25" x14ac:dyDescent="0.2">
      <c r="E29" s="162"/>
      <c r="F29" s="162"/>
      <c r="G29" s="162"/>
      <c r="H29" s="162"/>
    </row>
    <row r="30" spans="1:8" s="12" customFormat="1" ht="11.25" x14ac:dyDescent="0.2">
      <c r="E30" s="162"/>
      <c r="F30" s="162"/>
      <c r="G30" s="162"/>
      <c r="H30" s="162"/>
    </row>
    <row r="31" spans="1:8" s="12" customFormat="1" ht="11.25" x14ac:dyDescent="0.2">
      <c r="E31" s="162"/>
      <c r="F31" s="162"/>
      <c r="G31" s="162"/>
      <c r="H31" s="162"/>
    </row>
    <row r="32" spans="1:8" s="12" customFormat="1" ht="11.25" x14ac:dyDescent="0.2">
      <c r="E32" s="162"/>
      <c r="F32" s="162"/>
      <c r="G32" s="162"/>
      <c r="H32" s="162"/>
    </row>
    <row r="33" spans="2:8" s="12" customFormat="1" ht="11.25" x14ac:dyDescent="0.2">
      <c r="E33" s="162"/>
      <c r="F33" s="162"/>
      <c r="G33" s="162"/>
      <c r="H33" s="162"/>
    </row>
    <row r="34" spans="2:8" s="12" customFormat="1" ht="11.25" x14ac:dyDescent="0.2">
      <c r="E34" s="162"/>
      <c r="F34" s="162"/>
      <c r="G34" s="162"/>
      <c r="H34" s="162"/>
    </row>
    <row r="35" spans="2:8" s="12" customFormat="1" ht="11.25" x14ac:dyDescent="0.2">
      <c r="E35" s="162"/>
      <c r="F35" s="162"/>
      <c r="G35" s="162"/>
      <c r="H35" s="162"/>
    </row>
    <row r="36" spans="2:8" s="12" customFormat="1" ht="11.25" x14ac:dyDescent="0.2">
      <c r="E36" s="162"/>
      <c r="F36" s="162"/>
      <c r="G36" s="162"/>
      <c r="H36" s="162"/>
    </row>
    <row r="37" spans="2:8" s="12" customFormat="1" ht="11.25" x14ac:dyDescent="0.2">
      <c r="E37" s="162"/>
      <c r="F37" s="162"/>
      <c r="G37" s="162"/>
      <c r="H37" s="162"/>
    </row>
    <row r="38" spans="2:8" s="12" customFormat="1" ht="11.25" x14ac:dyDescent="0.2">
      <c r="E38" s="162"/>
      <c r="F38" s="162"/>
      <c r="G38" s="162"/>
    </row>
    <row r="39" spans="2:8" s="12" customFormat="1" ht="11.25" x14ac:dyDescent="0.2">
      <c r="E39" s="162"/>
      <c r="F39" s="162"/>
      <c r="G39" s="162"/>
      <c r="H39" s="162"/>
    </row>
    <row r="40" spans="2:8" s="12" customFormat="1" ht="11.25" x14ac:dyDescent="0.2">
      <c r="E40" s="162"/>
      <c r="F40" s="162"/>
      <c r="G40" s="162"/>
      <c r="H40" s="162"/>
    </row>
    <row r="41" spans="2:8" s="12" customFormat="1" ht="11.25" x14ac:dyDescent="0.2">
      <c r="E41" s="162"/>
      <c r="F41" s="162"/>
      <c r="G41" s="162"/>
      <c r="H41" s="162"/>
    </row>
    <row r="42" spans="2:8" s="12" customFormat="1" ht="11.25" x14ac:dyDescent="0.2">
      <c r="E42" s="162"/>
      <c r="F42" s="162"/>
      <c r="G42" s="162"/>
      <c r="H42" s="162"/>
    </row>
    <row r="43" spans="2:8" s="12" customFormat="1" ht="11.25" x14ac:dyDescent="0.2">
      <c r="E43" s="162"/>
      <c r="F43" s="162"/>
      <c r="G43" s="162"/>
      <c r="H43" s="162"/>
    </row>
    <row r="44" spans="2:8" s="12" customFormat="1" ht="11.25" x14ac:dyDescent="0.2">
      <c r="E44" s="162"/>
      <c r="F44" s="162"/>
      <c r="G44" s="162"/>
      <c r="H44" s="162"/>
    </row>
    <row r="45" spans="2:8" s="12" customFormat="1" x14ac:dyDescent="0.2">
      <c r="B45" s="3"/>
      <c r="E45" s="162"/>
      <c r="F45" s="162"/>
      <c r="G45" s="162"/>
      <c r="H45" s="162"/>
    </row>
  </sheetData>
  <mergeCells count="1">
    <mergeCell ref="A2:B2"/>
  </mergeCells>
  <dataValidations count="2">
    <dataValidation allowBlank="1" showInputMessage="1" showErrorMessage="1" error="Érvénytelen adat." sqref="H10:H25"/>
    <dataValidation type="list" allowBlank="1" showInputMessage="1" showErrorMessage="1" sqref="C10:C25">
      <formula1>hivatalok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9"/>
  <sheetViews>
    <sheetView workbookViewId="0">
      <pane xSplit="1" ySplit="13" topLeftCell="B73" activePane="bottomRight" state="frozen"/>
      <selection activeCell="D37" sqref="D37"/>
      <selection pane="topRight" activeCell="D37" sqref="D37"/>
      <selection pane="bottomLeft" activeCell="D37" sqref="D37"/>
      <selection pane="bottomRight" activeCell="D37" sqref="D37"/>
    </sheetView>
  </sheetViews>
  <sheetFormatPr defaultColWidth="9.140625" defaultRowHeight="12.75" x14ac:dyDescent="0.2"/>
  <cols>
    <col min="1" max="1" width="23.5703125" style="3" customWidth="1"/>
    <col min="2" max="2" width="40.28515625" style="3" customWidth="1"/>
    <col min="3" max="3" width="19.85546875" style="3" customWidth="1"/>
    <col min="4" max="4" width="10.140625" style="3" bestFit="1" customWidth="1"/>
    <col min="5" max="6" width="8.5703125" style="4" customWidth="1"/>
    <col min="7" max="7" width="9.7109375" style="4" customWidth="1"/>
    <col min="8" max="8" width="8.5703125" style="4" customWidth="1"/>
    <col min="9" max="9" width="6.85546875" style="4" bestFit="1" customWidth="1"/>
    <col min="10" max="10" width="3.85546875" style="3" customWidth="1"/>
    <col min="11" max="11" width="12.140625" style="3" customWidth="1"/>
    <col min="12" max="12" width="10.28515625" style="3" bestFit="1" customWidth="1"/>
    <col min="13" max="16384" width="9.140625" style="3"/>
  </cols>
  <sheetData>
    <row r="1" spans="1:10" ht="25.5" x14ac:dyDescent="0.2">
      <c r="A1" s="228" t="str">
        <f>Összesítő!B2</f>
        <v>EMTE - Marosvásárhelyi kar</v>
      </c>
    </row>
    <row r="2" spans="1:10" s="86" customFormat="1" ht="12.75" customHeight="1" thickBot="1" x14ac:dyDescent="0.25">
      <c r="A2" s="310" t="s">
        <v>151</v>
      </c>
      <c r="B2" s="310"/>
      <c r="C2" s="109"/>
      <c r="D2" s="110">
        <f>SUM(D3:D7)</f>
        <v>0</v>
      </c>
      <c r="F2" s="111"/>
    </row>
    <row r="3" spans="1:10" s="12" customFormat="1" ht="12.75" customHeight="1" thickTop="1" x14ac:dyDescent="0.2">
      <c r="A3" s="306" t="s">
        <v>379</v>
      </c>
      <c r="B3" s="52" t="s">
        <v>380</v>
      </c>
      <c r="C3" s="31"/>
      <c r="D3" s="54">
        <f>SUMPRODUCT(E14:E149,I14:I149)</f>
        <v>0</v>
      </c>
      <c r="E3" s="56"/>
      <c r="F3" s="57"/>
    </row>
    <row r="4" spans="1:10" s="12" customFormat="1" ht="13.5" customHeight="1" x14ac:dyDescent="0.2">
      <c r="A4" s="307"/>
      <c r="B4" s="52" t="s">
        <v>72</v>
      </c>
      <c r="C4" s="31"/>
      <c r="D4" s="54">
        <f>INT(SUMPRODUCT(F14:F149,I14:I149))</f>
        <v>0</v>
      </c>
      <c r="F4" s="58"/>
      <c r="G4" s="56"/>
    </row>
    <row r="5" spans="1:10" s="12" customFormat="1" ht="13.5" customHeight="1" x14ac:dyDescent="0.2">
      <c r="A5" s="307"/>
      <c r="B5" s="52" t="s">
        <v>381</v>
      </c>
      <c r="C5" s="31"/>
      <c r="D5" s="54">
        <f>SUMPRODUCT(G14:G149,I14:I149)</f>
        <v>0</v>
      </c>
      <c r="F5" s="58"/>
      <c r="G5" s="56"/>
    </row>
    <row r="6" spans="1:10" s="12" customFormat="1" ht="13.5" customHeight="1" x14ac:dyDescent="0.2">
      <c r="A6" s="307"/>
      <c r="B6" s="52" t="s">
        <v>382</v>
      </c>
      <c r="C6" s="31"/>
      <c r="D6" s="54">
        <f>SUMPRODUCT(H14:H149,I14:I149)</f>
        <v>0</v>
      </c>
      <c r="F6" s="58"/>
      <c r="G6" s="56"/>
    </row>
    <row r="7" spans="1:10" s="12" customFormat="1" ht="13.5" customHeight="1" x14ac:dyDescent="0.2">
      <c r="A7" s="52"/>
      <c r="B7" s="31"/>
      <c r="C7" s="31"/>
      <c r="D7" s="54"/>
      <c r="F7" s="58"/>
      <c r="G7" s="56"/>
    </row>
    <row r="8" spans="1:10" s="12" customFormat="1" ht="12.75" customHeight="1" x14ac:dyDescent="0.2">
      <c r="A8" s="307" t="s">
        <v>378</v>
      </c>
      <c r="B8" s="52" t="s">
        <v>380</v>
      </c>
      <c r="C8" s="31"/>
      <c r="D8" s="221">
        <f>INT(E8*70%)</f>
        <v>0</v>
      </c>
      <c r="E8" s="221">
        <f>VLOOKUP(A1,évente,4, FALSE)</f>
        <v>0</v>
      </c>
      <c r="H8" s="58"/>
      <c r="J8" s="162"/>
    </row>
    <row r="9" spans="1:10" s="12" customFormat="1" ht="12" customHeight="1" x14ac:dyDescent="0.2">
      <c r="A9" s="307"/>
      <c r="B9" s="52" t="s">
        <v>381</v>
      </c>
      <c r="C9" s="31"/>
      <c r="D9" s="221">
        <f>E8-D8</f>
        <v>0</v>
      </c>
      <c r="E9" s="31"/>
      <c r="G9" s="56"/>
      <c r="H9" s="56"/>
      <c r="I9" s="33"/>
      <c r="J9" s="162"/>
    </row>
    <row r="10" spans="1:10" s="12" customFormat="1" ht="12.75" customHeight="1" x14ac:dyDescent="0.2">
      <c r="A10" s="307"/>
      <c r="B10" s="52" t="s">
        <v>382</v>
      </c>
      <c r="C10" s="31"/>
      <c r="D10" s="221">
        <f>ROUNDUP(E8*adókulcs,0)</f>
        <v>0</v>
      </c>
      <c r="E10" s="31"/>
      <c r="G10" s="56"/>
      <c r="H10" s="56"/>
      <c r="I10" s="33"/>
      <c r="J10" s="162"/>
    </row>
    <row r="11" spans="1:10" ht="12.75" customHeight="1" x14ac:dyDescent="0.2">
      <c r="A11" s="31"/>
      <c r="B11" s="31"/>
      <c r="C11" s="31"/>
      <c r="D11" s="12"/>
      <c r="E11" s="27"/>
      <c r="H11" s="7"/>
    </row>
    <row r="12" spans="1:10" ht="13.5" customHeight="1" x14ac:dyDescent="0.2">
      <c r="J12" s="8"/>
    </row>
    <row r="13" spans="1:10" s="33" customFormat="1" ht="48.75" customHeight="1" x14ac:dyDescent="0.2">
      <c r="A13" s="35" t="s">
        <v>96</v>
      </c>
      <c r="B13" s="35" t="s">
        <v>102</v>
      </c>
      <c r="C13" s="35" t="s">
        <v>103</v>
      </c>
      <c r="D13" s="172" t="s">
        <v>384</v>
      </c>
      <c r="E13" s="172" t="s">
        <v>385</v>
      </c>
      <c r="F13" s="172" t="s">
        <v>90</v>
      </c>
      <c r="G13" s="219" t="s">
        <v>92</v>
      </c>
      <c r="H13" s="219" t="s">
        <v>91</v>
      </c>
      <c r="I13" s="219" t="s">
        <v>93</v>
      </c>
      <c r="J13" s="12"/>
    </row>
    <row r="14" spans="1:10" s="12" customFormat="1" x14ac:dyDescent="0.2">
      <c r="A14" t="s">
        <v>536</v>
      </c>
      <c r="B14" t="s">
        <v>504</v>
      </c>
      <c r="C14" s="216" t="s">
        <v>174</v>
      </c>
      <c r="D14" s="246"/>
      <c r="E14" s="40">
        <f t="shared" ref="E14:E45" si="0">ROUNDUP(D14*70%,0)</f>
        <v>0</v>
      </c>
      <c r="F14" s="40">
        <f t="shared" ref="F14:F45" si="1">IF(D14=0,0,ebédjegy*munkanapok)</f>
        <v>0</v>
      </c>
      <c r="G14" s="40">
        <f t="shared" ref="G14:G37" si="2">D14-E14</f>
        <v>0</v>
      </c>
      <c r="H14" s="40">
        <f t="shared" ref="H14:H45" si="3">ROUNDUP(D14*adókulcs,0)</f>
        <v>0</v>
      </c>
      <c r="I14" s="237">
        <v>13</v>
      </c>
    </row>
    <row r="15" spans="1:10" s="12" customFormat="1" x14ac:dyDescent="0.2">
      <c r="A15" t="s">
        <v>537</v>
      </c>
      <c r="B15" t="s">
        <v>505</v>
      </c>
      <c r="C15" s="216" t="s">
        <v>174</v>
      </c>
      <c r="D15" s="246"/>
      <c r="E15" s="40">
        <f t="shared" si="0"/>
        <v>0</v>
      </c>
      <c r="F15" s="40">
        <f t="shared" si="1"/>
        <v>0</v>
      </c>
      <c r="G15" s="40">
        <f t="shared" si="2"/>
        <v>0</v>
      </c>
      <c r="H15" s="40">
        <f t="shared" si="3"/>
        <v>0</v>
      </c>
      <c r="I15" s="237">
        <v>13</v>
      </c>
    </row>
    <row r="16" spans="1:10" s="12" customFormat="1" x14ac:dyDescent="0.2">
      <c r="A16" t="s">
        <v>538</v>
      </c>
      <c r="B16" t="s">
        <v>506</v>
      </c>
      <c r="C16" s="216" t="s">
        <v>174</v>
      </c>
      <c r="D16" s="246"/>
      <c r="E16" s="40">
        <f t="shared" si="0"/>
        <v>0</v>
      </c>
      <c r="F16" s="40">
        <f t="shared" si="1"/>
        <v>0</v>
      </c>
      <c r="G16" s="40">
        <f t="shared" si="2"/>
        <v>0</v>
      </c>
      <c r="H16" s="40">
        <f t="shared" si="3"/>
        <v>0</v>
      </c>
      <c r="I16" s="237">
        <v>13</v>
      </c>
    </row>
    <row r="17" spans="1:9" s="12" customFormat="1" x14ac:dyDescent="0.2">
      <c r="A17" t="s">
        <v>539</v>
      </c>
      <c r="B17" t="s">
        <v>507</v>
      </c>
      <c r="C17" s="216" t="s">
        <v>171</v>
      </c>
      <c r="D17" s="246"/>
      <c r="E17" s="40">
        <f t="shared" si="0"/>
        <v>0</v>
      </c>
      <c r="F17" s="40">
        <f t="shared" si="1"/>
        <v>0</v>
      </c>
      <c r="G17" s="40">
        <f t="shared" si="2"/>
        <v>0</v>
      </c>
      <c r="H17" s="40">
        <f t="shared" si="3"/>
        <v>0</v>
      </c>
      <c r="I17" s="237">
        <v>13</v>
      </c>
    </row>
    <row r="18" spans="1:9" s="12" customFormat="1" x14ac:dyDescent="0.2">
      <c r="A18" t="s">
        <v>540</v>
      </c>
      <c r="B18" t="s">
        <v>508</v>
      </c>
      <c r="C18" s="216" t="s">
        <v>174</v>
      </c>
      <c r="D18" s="246"/>
      <c r="E18" s="40">
        <f t="shared" si="0"/>
        <v>0</v>
      </c>
      <c r="F18" s="40">
        <f t="shared" si="1"/>
        <v>0</v>
      </c>
      <c r="G18" s="40">
        <f t="shared" si="2"/>
        <v>0</v>
      </c>
      <c r="H18" s="40">
        <f t="shared" si="3"/>
        <v>0</v>
      </c>
      <c r="I18" s="237">
        <v>13</v>
      </c>
    </row>
    <row r="19" spans="1:9" s="12" customFormat="1" x14ac:dyDescent="0.2">
      <c r="A19" t="s">
        <v>541</v>
      </c>
      <c r="B19" t="s">
        <v>509</v>
      </c>
      <c r="C19" s="216" t="s">
        <v>161</v>
      </c>
      <c r="D19" s="246"/>
      <c r="E19" s="40">
        <f t="shared" si="0"/>
        <v>0</v>
      </c>
      <c r="F19" s="40">
        <f t="shared" si="1"/>
        <v>0</v>
      </c>
      <c r="G19" s="40">
        <f t="shared" si="2"/>
        <v>0</v>
      </c>
      <c r="H19" s="40">
        <f t="shared" si="3"/>
        <v>0</v>
      </c>
      <c r="I19" s="237">
        <v>13</v>
      </c>
    </row>
    <row r="20" spans="1:9" s="12" customFormat="1" x14ac:dyDescent="0.2">
      <c r="A20" t="s">
        <v>542</v>
      </c>
      <c r="B20" t="s">
        <v>510</v>
      </c>
      <c r="C20" s="216" t="s">
        <v>171</v>
      </c>
      <c r="D20" s="246"/>
      <c r="E20" s="40">
        <f t="shared" si="0"/>
        <v>0</v>
      </c>
      <c r="F20" s="40">
        <f t="shared" si="1"/>
        <v>0</v>
      </c>
      <c r="G20" s="40">
        <f t="shared" si="2"/>
        <v>0</v>
      </c>
      <c r="H20" s="40">
        <f t="shared" si="3"/>
        <v>0</v>
      </c>
      <c r="I20" s="237">
        <v>13</v>
      </c>
    </row>
    <row r="21" spans="1:9" s="12" customFormat="1" x14ac:dyDescent="0.2">
      <c r="A21" t="s">
        <v>543</v>
      </c>
      <c r="B21" t="s">
        <v>511</v>
      </c>
      <c r="C21" s="216" t="s">
        <v>171</v>
      </c>
      <c r="D21" s="246"/>
      <c r="E21" s="40">
        <f t="shared" si="0"/>
        <v>0</v>
      </c>
      <c r="F21" s="40">
        <f t="shared" si="1"/>
        <v>0</v>
      </c>
      <c r="G21" s="40">
        <f t="shared" si="2"/>
        <v>0</v>
      </c>
      <c r="H21" s="40">
        <f t="shared" si="3"/>
        <v>0</v>
      </c>
      <c r="I21" s="237">
        <v>13</v>
      </c>
    </row>
    <row r="22" spans="1:9" s="12" customFormat="1" x14ac:dyDescent="0.2">
      <c r="A22" t="s">
        <v>544</v>
      </c>
      <c r="B22" t="s">
        <v>512</v>
      </c>
      <c r="C22" s="216" t="s">
        <v>171</v>
      </c>
      <c r="D22" s="246"/>
      <c r="E22" s="40">
        <f t="shared" si="0"/>
        <v>0</v>
      </c>
      <c r="F22" s="40">
        <f t="shared" si="1"/>
        <v>0</v>
      </c>
      <c r="G22" s="40">
        <f t="shared" si="2"/>
        <v>0</v>
      </c>
      <c r="H22" s="40">
        <f t="shared" si="3"/>
        <v>0</v>
      </c>
      <c r="I22" s="237">
        <v>13</v>
      </c>
    </row>
    <row r="23" spans="1:9" s="12" customFormat="1" x14ac:dyDescent="0.2">
      <c r="A23" t="s">
        <v>545</v>
      </c>
      <c r="B23" t="s">
        <v>505</v>
      </c>
      <c r="C23" s="216" t="s">
        <v>170</v>
      </c>
      <c r="D23" s="246"/>
      <c r="E23" s="40">
        <f t="shared" si="0"/>
        <v>0</v>
      </c>
      <c r="F23" s="40">
        <f t="shared" si="1"/>
        <v>0</v>
      </c>
      <c r="G23" s="40">
        <f t="shared" si="2"/>
        <v>0</v>
      </c>
      <c r="H23" s="40">
        <f t="shared" si="3"/>
        <v>0</v>
      </c>
      <c r="I23" s="237">
        <v>13</v>
      </c>
    </row>
    <row r="24" spans="1:9" s="12" customFormat="1" x14ac:dyDescent="0.2">
      <c r="A24" t="s">
        <v>546</v>
      </c>
      <c r="B24" t="s">
        <v>513</v>
      </c>
      <c r="C24" s="216" t="s">
        <v>170</v>
      </c>
      <c r="D24" s="246"/>
      <c r="E24" s="40">
        <f t="shared" si="0"/>
        <v>0</v>
      </c>
      <c r="F24" s="40">
        <f t="shared" si="1"/>
        <v>0</v>
      </c>
      <c r="G24" s="40">
        <f t="shared" si="2"/>
        <v>0</v>
      </c>
      <c r="H24" s="40">
        <f t="shared" si="3"/>
        <v>0</v>
      </c>
      <c r="I24" s="237">
        <v>13</v>
      </c>
    </row>
    <row r="25" spans="1:9" s="12" customFormat="1" x14ac:dyDescent="0.2">
      <c r="A25" t="s">
        <v>547</v>
      </c>
      <c r="B25" t="s">
        <v>513</v>
      </c>
      <c r="C25" s="216" t="s">
        <v>170</v>
      </c>
      <c r="D25" s="246"/>
      <c r="E25" s="40">
        <f t="shared" si="0"/>
        <v>0</v>
      </c>
      <c r="F25" s="40">
        <f t="shared" si="1"/>
        <v>0</v>
      </c>
      <c r="G25" s="40">
        <f t="shared" si="2"/>
        <v>0</v>
      </c>
      <c r="H25" s="40">
        <f t="shared" si="3"/>
        <v>0</v>
      </c>
      <c r="I25" s="237">
        <v>13</v>
      </c>
    </row>
    <row r="26" spans="1:9" s="12" customFormat="1" x14ac:dyDescent="0.2">
      <c r="A26" t="s">
        <v>548</v>
      </c>
      <c r="B26" t="s">
        <v>514</v>
      </c>
      <c r="C26" s="216" t="s">
        <v>160</v>
      </c>
      <c r="D26" s="246"/>
      <c r="E26" s="40">
        <f t="shared" si="0"/>
        <v>0</v>
      </c>
      <c r="F26" s="40">
        <f t="shared" si="1"/>
        <v>0</v>
      </c>
      <c r="G26" s="40">
        <f t="shared" si="2"/>
        <v>0</v>
      </c>
      <c r="H26" s="40">
        <f t="shared" si="3"/>
        <v>0</v>
      </c>
      <c r="I26" s="237">
        <v>13</v>
      </c>
    </row>
    <row r="27" spans="1:9" s="12" customFormat="1" x14ac:dyDescent="0.2">
      <c r="A27" t="s">
        <v>549</v>
      </c>
      <c r="B27" t="s">
        <v>515</v>
      </c>
      <c r="C27" s="216" t="s">
        <v>176</v>
      </c>
      <c r="D27" s="246"/>
      <c r="E27" s="40">
        <f t="shared" si="0"/>
        <v>0</v>
      </c>
      <c r="F27" s="40">
        <f t="shared" si="1"/>
        <v>0</v>
      </c>
      <c r="G27" s="40">
        <f t="shared" si="2"/>
        <v>0</v>
      </c>
      <c r="H27" s="40">
        <f t="shared" si="3"/>
        <v>0</v>
      </c>
      <c r="I27" s="237">
        <v>13</v>
      </c>
    </row>
    <row r="28" spans="1:9" s="12" customFormat="1" x14ac:dyDescent="0.2">
      <c r="A28" t="s">
        <v>550</v>
      </c>
      <c r="B28" t="s">
        <v>511</v>
      </c>
      <c r="C28" s="216" t="s">
        <v>176</v>
      </c>
      <c r="D28" s="246"/>
      <c r="E28" s="40">
        <f t="shared" si="0"/>
        <v>0</v>
      </c>
      <c r="F28" s="40">
        <f t="shared" si="1"/>
        <v>0</v>
      </c>
      <c r="G28" s="40">
        <f t="shared" si="2"/>
        <v>0</v>
      </c>
      <c r="H28" s="40">
        <f t="shared" si="3"/>
        <v>0</v>
      </c>
      <c r="I28" s="237">
        <v>13</v>
      </c>
    </row>
    <row r="29" spans="1:9" s="12" customFormat="1" x14ac:dyDescent="0.2">
      <c r="A29" t="s">
        <v>551</v>
      </c>
      <c r="B29" t="s">
        <v>505</v>
      </c>
      <c r="C29" s="216" t="s">
        <v>161</v>
      </c>
      <c r="D29" s="246"/>
      <c r="E29" s="40">
        <f t="shared" si="0"/>
        <v>0</v>
      </c>
      <c r="F29" s="40">
        <f t="shared" si="1"/>
        <v>0</v>
      </c>
      <c r="G29" s="40">
        <f t="shared" si="2"/>
        <v>0</v>
      </c>
      <c r="H29" s="40">
        <f t="shared" si="3"/>
        <v>0</v>
      </c>
      <c r="I29" s="237">
        <v>13</v>
      </c>
    </row>
    <row r="30" spans="1:9" s="12" customFormat="1" x14ac:dyDescent="0.2">
      <c r="A30" t="s">
        <v>552</v>
      </c>
      <c r="B30" t="s">
        <v>506</v>
      </c>
      <c r="C30" s="216" t="s">
        <v>176</v>
      </c>
      <c r="D30" s="246"/>
      <c r="E30" s="40">
        <f t="shared" si="0"/>
        <v>0</v>
      </c>
      <c r="F30" s="40">
        <f t="shared" si="1"/>
        <v>0</v>
      </c>
      <c r="G30" s="40">
        <f t="shared" si="2"/>
        <v>0</v>
      </c>
      <c r="H30" s="40">
        <f t="shared" si="3"/>
        <v>0</v>
      </c>
      <c r="I30" s="237">
        <v>13</v>
      </c>
    </row>
    <row r="31" spans="1:9" s="12" customFormat="1" x14ac:dyDescent="0.2">
      <c r="A31" t="s">
        <v>553</v>
      </c>
      <c r="B31" t="s">
        <v>506</v>
      </c>
      <c r="C31" s="216" t="s">
        <v>176</v>
      </c>
      <c r="D31" s="246"/>
      <c r="E31" s="40">
        <f t="shared" si="0"/>
        <v>0</v>
      </c>
      <c r="F31" s="40">
        <f t="shared" si="1"/>
        <v>0</v>
      </c>
      <c r="G31" s="40">
        <f t="shared" si="2"/>
        <v>0</v>
      </c>
      <c r="H31" s="40">
        <f t="shared" si="3"/>
        <v>0</v>
      </c>
      <c r="I31" s="237">
        <v>13</v>
      </c>
    </row>
    <row r="32" spans="1:9" s="12" customFormat="1" x14ac:dyDescent="0.2">
      <c r="A32" t="s">
        <v>554</v>
      </c>
      <c r="B32" t="s">
        <v>516</v>
      </c>
      <c r="C32" s="216" t="s">
        <v>176</v>
      </c>
      <c r="D32" s="246"/>
      <c r="E32" s="40">
        <f t="shared" si="0"/>
        <v>0</v>
      </c>
      <c r="F32" s="40">
        <f t="shared" si="1"/>
        <v>0</v>
      </c>
      <c r="G32" s="40">
        <f t="shared" si="2"/>
        <v>0</v>
      </c>
      <c r="H32" s="40">
        <f t="shared" si="3"/>
        <v>0</v>
      </c>
      <c r="I32" s="237">
        <v>13</v>
      </c>
    </row>
    <row r="33" spans="1:9" s="12" customFormat="1" x14ac:dyDescent="0.2">
      <c r="A33" t="s">
        <v>555</v>
      </c>
      <c r="B33" t="s">
        <v>507</v>
      </c>
      <c r="C33" s="216" t="s">
        <v>176</v>
      </c>
      <c r="D33" s="246"/>
      <c r="E33" s="40">
        <f t="shared" si="0"/>
        <v>0</v>
      </c>
      <c r="F33" s="40">
        <f t="shared" si="1"/>
        <v>0</v>
      </c>
      <c r="G33" s="40">
        <f t="shared" si="2"/>
        <v>0</v>
      </c>
      <c r="H33" s="40">
        <f t="shared" si="3"/>
        <v>0</v>
      </c>
      <c r="I33" s="237">
        <v>13</v>
      </c>
    </row>
    <row r="34" spans="1:9" s="12" customFormat="1" x14ac:dyDescent="0.2">
      <c r="A34" t="s">
        <v>556</v>
      </c>
      <c r="B34" t="s">
        <v>517</v>
      </c>
      <c r="C34" s="216" t="s">
        <v>176</v>
      </c>
      <c r="D34" s="246"/>
      <c r="E34" s="40">
        <f t="shared" si="0"/>
        <v>0</v>
      </c>
      <c r="F34" s="40">
        <f t="shared" si="1"/>
        <v>0</v>
      </c>
      <c r="G34" s="40">
        <f t="shared" si="2"/>
        <v>0</v>
      </c>
      <c r="H34" s="40">
        <f t="shared" si="3"/>
        <v>0</v>
      </c>
      <c r="I34" s="237">
        <v>13</v>
      </c>
    </row>
    <row r="35" spans="1:9" s="12" customFormat="1" ht="22.5" x14ac:dyDescent="0.2">
      <c r="A35" t="s">
        <v>557</v>
      </c>
      <c r="B35" t="s">
        <v>518</v>
      </c>
      <c r="C35" s="216" t="s">
        <v>335</v>
      </c>
      <c r="D35" s="246"/>
      <c r="E35" s="40">
        <f t="shared" si="0"/>
        <v>0</v>
      </c>
      <c r="F35" s="40">
        <f t="shared" si="1"/>
        <v>0</v>
      </c>
      <c r="G35" s="40">
        <f t="shared" si="2"/>
        <v>0</v>
      </c>
      <c r="H35" s="40">
        <f t="shared" si="3"/>
        <v>0</v>
      </c>
      <c r="I35" s="237">
        <v>13</v>
      </c>
    </row>
    <row r="36" spans="1:9" s="12" customFormat="1" ht="22.5" x14ac:dyDescent="0.2">
      <c r="A36" t="s">
        <v>558</v>
      </c>
      <c r="B36" t="s">
        <v>505</v>
      </c>
      <c r="C36" s="216" t="s">
        <v>335</v>
      </c>
      <c r="D36" s="246"/>
      <c r="E36" s="40">
        <f t="shared" si="0"/>
        <v>0</v>
      </c>
      <c r="F36" s="40">
        <f t="shared" si="1"/>
        <v>0</v>
      </c>
      <c r="G36" s="40">
        <f t="shared" si="2"/>
        <v>0</v>
      </c>
      <c r="H36" s="40">
        <f t="shared" si="3"/>
        <v>0</v>
      </c>
      <c r="I36" s="237">
        <v>13</v>
      </c>
    </row>
    <row r="37" spans="1:9" s="12" customFormat="1" x14ac:dyDescent="0.2">
      <c r="A37" t="s">
        <v>559</v>
      </c>
      <c r="B37" t="s">
        <v>505</v>
      </c>
      <c r="C37" s="216" t="s">
        <v>371</v>
      </c>
      <c r="D37" s="246"/>
      <c r="E37" s="40">
        <f t="shared" si="0"/>
        <v>0</v>
      </c>
      <c r="F37" s="40">
        <f t="shared" si="1"/>
        <v>0</v>
      </c>
      <c r="G37" s="40">
        <f t="shared" si="2"/>
        <v>0</v>
      </c>
      <c r="H37" s="40">
        <f t="shared" si="3"/>
        <v>0</v>
      </c>
      <c r="I37" s="237">
        <v>13</v>
      </c>
    </row>
    <row r="38" spans="1:9" s="12" customFormat="1" x14ac:dyDescent="0.2">
      <c r="A38" t="s">
        <v>560</v>
      </c>
      <c r="B38" t="s">
        <v>521</v>
      </c>
      <c r="C38" s="216" t="s">
        <v>161</v>
      </c>
      <c r="D38" s="246"/>
      <c r="E38" s="40">
        <f t="shared" si="0"/>
        <v>0</v>
      </c>
      <c r="F38" s="40">
        <f t="shared" si="1"/>
        <v>0</v>
      </c>
      <c r="G38" s="40">
        <f t="shared" ref="G38:G68" si="4">D38-E38</f>
        <v>0</v>
      </c>
      <c r="H38" s="40">
        <f t="shared" si="3"/>
        <v>0</v>
      </c>
      <c r="I38" s="237">
        <v>13</v>
      </c>
    </row>
    <row r="39" spans="1:9" s="12" customFormat="1" x14ac:dyDescent="0.2">
      <c r="A39" t="s">
        <v>561</v>
      </c>
      <c r="B39" t="s">
        <v>522</v>
      </c>
      <c r="C39" s="216" t="s">
        <v>161</v>
      </c>
      <c r="D39" s="246"/>
      <c r="E39" s="40">
        <f t="shared" si="0"/>
        <v>0</v>
      </c>
      <c r="F39" s="40">
        <f t="shared" si="1"/>
        <v>0</v>
      </c>
      <c r="G39" s="40">
        <f t="shared" si="4"/>
        <v>0</v>
      </c>
      <c r="H39" s="40">
        <f t="shared" si="3"/>
        <v>0</v>
      </c>
      <c r="I39" s="237">
        <v>13</v>
      </c>
    </row>
    <row r="40" spans="1:9" s="12" customFormat="1" x14ac:dyDescent="0.2">
      <c r="A40" t="s">
        <v>562</v>
      </c>
      <c r="B40" t="s">
        <v>511</v>
      </c>
      <c r="C40" s="216" t="s">
        <v>161</v>
      </c>
      <c r="D40" s="246"/>
      <c r="E40" s="40">
        <f t="shared" si="0"/>
        <v>0</v>
      </c>
      <c r="F40" s="40">
        <f t="shared" si="1"/>
        <v>0</v>
      </c>
      <c r="G40" s="40">
        <f t="shared" si="4"/>
        <v>0</v>
      </c>
      <c r="H40" s="40">
        <f t="shared" si="3"/>
        <v>0</v>
      </c>
      <c r="I40" s="237">
        <v>13</v>
      </c>
    </row>
    <row r="41" spans="1:9" s="12" customFormat="1" x14ac:dyDescent="0.2">
      <c r="A41" t="s">
        <v>563</v>
      </c>
      <c r="B41" t="s">
        <v>511</v>
      </c>
      <c r="C41" s="216" t="s">
        <v>161</v>
      </c>
      <c r="D41" s="246"/>
      <c r="E41" s="40">
        <f t="shared" si="0"/>
        <v>0</v>
      </c>
      <c r="F41" s="40">
        <f t="shared" si="1"/>
        <v>0</v>
      </c>
      <c r="G41" s="40">
        <f t="shared" si="4"/>
        <v>0</v>
      </c>
      <c r="H41" s="40">
        <f t="shared" si="3"/>
        <v>0</v>
      </c>
      <c r="I41" s="237">
        <v>13</v>
      </c>
    </row>
    <row r="42" spans="1:9" s="12" customFormat="1" x14ac:dyDescent="0.2">
      <c r="A42" t="s">
        <v>564</v>
      </c>
      <c r="B42" t="s">
        <v>511</v>
      </c>
      <c r="C42" s="216" t="s">
        <v>161</v>
      </c>
      <c r="D42" s="246"/>
      <c r="E42" s="40">
        <f t="shared" si="0"/>
        <v>0</v>
      </c>
      <c r="F42" s="40">
        <f t="shared" si="1"/>
        <v>0</v>
      </c>
      <c r="G42" s="40">
        <f t="shared" si="4"/>
        <v>0</v>
      </c>
      <c r="H42" s="40">
        <f t="shared" si="3"/>
        <v>0</v>
      </c>
      <c r="I42" s="237">
        <v>13</v>
      </c>
    </row>
    <row r="43" spans="1:9" s="12" customFormat="1" x14ac:dyDescent="0.2">
      <c r="A43" t="s">
        <v>565</v>
      </c>
      <c r="B43" t="s">
        <v>523</v>
      </c>
      <c r="C43" s="216" t="s">
        <v>161</v>
      </c>
      <c r="D43" s="246"/>
      <c r="E43" s="40">
        <f t="shared" si="0"/>
        <v>0</v>
      </c>
      <c r="F43" s="40">
        <f t="shared" si="1"/>
        <v>0</v>
      </c>
      <c r="G43" s="40">
        <f t="shared" si="4"/>
        <v>0</v>
      </c>
      <c r="H43" s="40">
        <f t="shared" si="3"/>
        <v>0</v>
      </c>
      <c r="I43" s="237">
        <v>13</v>
      </c>
    </row>
    <row r="44" spans="1:9" s="12" customFormat="1" x14ac:dyDescent="0.2">
      <c r="A44" t="s">
        <v>566</v>
      </c>
      <c r="B44" t="s">
        <v>519</v>
      </c>
      <c r="C44" s="216" t="s">
        <v>160</v>
      </c>
      <c r="D44" s="246"/>
      <c r="E44" s="40">
        <f t="shared" si="0"/>
        <v>0</v>
      </c>
      <c r="F44" s="40">
        <f t="shared" si="1"/>
        <v>0</v>
      </c>
      <c r="G44" s="40">
        <f t="shared" si="4"/>
        <v>0</v>
      </c>
      <c r="H44" s="40">
        <f t="shared" si="3"/>
        <v>0</v>
      </c>
      <c r="I44" s="237">
        <v>13</v>
      </c>
    </row>
    <row r="45" spans="1:9" s="12" customFormat="1" x14ac:dyDescent="0.2">
      <c r="A45" t="s">
        <v>567</v>
      </c>
      <c r="B45" t="s">
        <v>519</v>
      </c>
      <c r="C45" s="216" t="s">
        <v>160</v>
      </c>
      <c r="D45" s="246"/>
      <c r="E45" s="40">
        <f t="shared" si="0"/>
        <v>0</v>
      </c>
      <c r="F45" s="40">
        <f t="shared" si="1"/>
        <v>0</v>
      </c>
      <c r="G45" s="40">
        <f t="shared" si="4"/>
        <v>0</v>
      </c>
      <c r="H45" s="40">
        <f t="shared" si="3"/>
        <v>0</v>
      </c>
      <c r="I45" s="237">
        <v>13</v>
      </c>
    </row>
    <row r="46" spans="1:9" s="12" customFormat="1" x14ac:dyDescent="0.2">
      <c r="A46" t="s">
        <v>568</v>
      </c>
      <c r="B46" t="s">
        <v>514</v>
      </c>
      <c r="C46" s="216" t="s">
        <v>160</v>
      </c>
      <c r="D46" s="246"/>
      <c r="E46" s="40">
        <f t="shared" ref="E46:E77" si="5">ROUNDUP(D46*70%,0)</f>
        <v>0</v>
      </c>
      <c r="F46" s="40">
        <f t="shared" ref="F46:F81" si="6">IF(D46=0,0,ebédjegy*munkanapok)</f>
        <v>0</v>
      </c>
      <c r="G46" s="40">
        <f t="shared" si="4"/>
        <v>0</v>
      </c>
      <c r="H46" s="40">
        <f t="shared" ref="H46:H81" si="7">ROUNDUP(D46*adókulcs,0)</f>
        <v>0</v>
      </c>
      <c r="I46" s="237">
        <v>13</v>
      </c>
    </row>
    <row r="47" spans="1:9" s="12" customFormat="1" x14ac:dyDescent="0.2">
      <c r="A47" t="s">
        <v>569</v>
      </c>
      <c r="B47" t="s">
        <v>524</v>
      </c>
      <c r="C47" s="216" t="s">
        <v>160</v>
      </c>
      <c r="D47" s="246"/>
      <c r="E47" s="40">
        <f t="shared" si="5"/>
        <v>0</v>
      </c>
      <c r="F47" s="40">
        <f t="shared" si="6"/>
        <v>0</v>
      </c>
      <c r="G47" s="40">
        <f t="shared" si="4"/>
        <v>0</v>
      </c>
      <c r="H47" s="40">
        <f t="shared" si="7"/>
        <v>0</v>
      </c>
      <c r="I47" s="237">
        <v>13</v>
      </c>
    </row>
    <row r="48" spans="1:9" s="12" customFormat="1" x14ac:dyDescent="0.2">
      <c r="A48" t="s">
        <v>570</v>
      </c>
      <c r="B48" t="s">
        <v>525</v>
      </c>
      <c r="C48" s="216" t="s">
        <v>160</v>
      </c>
      <c r="D48" s="246"/>
      <c r="E48" s="40">
        <f t="shared" si="5"/>
        <v>0</v>
      </c>
      <c r="F48" s="40">
        <f t="shared" si="6"/>
        <v>0</v>
      </c>
      <c r="G48" s="40">
        <f t="shared" si="4"/>
        <v>0</v>
      </c>
      <c r="H48" s="40">
        <f t="shared" si="7"/>
        <v>0</v>
      </c>
      <c r="I48" s="237">
        <v>13</v>
      </c>
    </row>
    <row r="49" spans="1:9" s="12" customFormat="1" x14ac:dyDescent="0.2">
      <c r="A49" t="s">
        <v>571</v>
      </c>
      <c r="B49" t="s">
        <v>525</v>
      </c>
      <c r="C49" s="216" t="s">
        <v>160</v>
      </c>
      <c r="D49" s="246"/>
      <c r="E49" s="40">
        <f t="shared" si="5"/>
        <v>0</v>
      </c>
      <c r="F49" s="40">
        <f t="shared" si="6"/>
        <v>0</v>
      </c>
      <c r="G49" s="40">
        <f t="shared" si="4"/>
        <v>0</v>
      </c>
      <c r="H49" s="40">
        <f t="shared" si="7"/>
        <v>0</v>
      </c>
      <c r="I49" s="237">
        <v>13</v>
      </c>
    </row>
    <row r="50" spans="1:9" s="12" customFormat="1" x14ac:dyDescent="0.2">
      <c r="A50" t="s">
        <v>572</v>
      </c>
      <c r="B50" t="s">
        <v>526</v>
      </c>
      <c r="C50" s="216" t="s">
        <v>160</v>
      </c>
      <c r="D50" s="246"/>
      <c r="E50" s="40">
        <f t="shared" si="5"/>
        <v>0</v>
      </c>
      <c r="F50" s="40">
        <f t="shared" si="6"/>
        <v>0</v>
      </c>
      <c r="G50" s="40">
        <f t="shared" si="4"/>
        <v>0</v>
      </c>
      <c r="H50" s="40">
        <f t="shared" si="7"/>
        <v>0</v>
      </c>
      <c r="I50" s="237">
        <v>13</v>
      </c>
    </row>
    <row r="51" spans="1:9" s="12" customFormat="1" x14ac:dyDescent="0.2">
      <c r="A51" t="s">
        <v>573</v>
      </c>
      <c r="B51" t="s">
        <v>527</v>
      </c>
      <c r="C51" s="216" t="s">
        <v>160</v>
      </c>
      <c r="D51" s="246"/>
      <c r="E51" s="40">
        <f t="shared" si="5"/>
        <v>0</v>
      </c>
      <c r="F51" s="40">
        <f t="shared" si="6"/>
        <v>0</v>
      </c>
      <c r="G51" s="40">
        <f t="shared" si="4"/>
        <v>0</v>
      </c>
      <c r="H51" s="40">
        <f t="shared" si="7"/>
        <v>0</v>
      </c>
      <c r="I51" s="237">
        <v>13</v>
      </c>
    </row>
    <row r="52" spans="1:9" s="12" customFormat="1" x14ac:dyDescent="0.2">
      <c r="A52" t="s">
        <v>574</v>
      </c>
      <c r="B52" t="s">
        <v>528</v>
      </c>
      <c r="C52" s="216" t="s">
        <v>160</v>
      </c>
      <c r="D52" s="246"/>
      <c r="E52" s="40">
        <f t="shared" si="5"/>
        <v>0</v>
      </c>
      <c r="F52" s="40">
        <f t="shared" si="6"/>
        <v>0</v>
      </c>
      <c r="G52" s="40">
        <f t="shared" si="4"/>
        <v>0</v>
      </c>
      <c r="H52" s="40">
        <f t="shared" si="7"/>
        <v>0</v>
      </c>
      <c r="I52" s="237">
        <v>13</v>
      </c>
    </row>
    <row r="53" spans="1:9" s="12" customFormat="1" x14ac:dyDescent="0.2">
      <c r="A53" t="s">
        <v>575</v>
      </c>
      <c r="B53" t="s">
        <v>528</v>
      </c>
      <c r="C53" s="216" t="s">
        <v>160</v>
      </c>
      <c r="D53" s="246"/>
      <c r="E53" s="40">
        <f t="shared" si="5"/>
        <v>0</v>
      </c>
      <c r="F53" s="40">
        <f t="shared" si="6"/>
        <v>0</v>
      </c>
      <c r="G53" s="40">
        <f t="shared" si="4"/>
        <v>0</v>
      </c>
      <c r="H53" s="40">
        <f t="shared" si="7"/>
        <v>0</v>
      </c>
      <c r="I53" s="237">
        <v>13</v>
      </c>
    </row>
    <row r="54" spans="1:9" s="12" customFormat="1" x14ac:dyDescent="0.2">
      <c r="A54" t="s">
        <v>576</v>
      </c>
      <c r="B54" t="s">
        <v>528</v>
      </c>
      <c r="C54" s="216" t="s">
        <v>160</v>
      </c>
      <c r="D54" s="246"/>
      <c r="E54" s="40">
        <f t="shared" si="5"/>
        <v>0</v>
      </c>
      <c r="F54" s="40">
        <f t="shared" si="6"/>
        <v>0</v>
      </c>
      <c r="G54" s="40">
        <f t="shared" si="4"/>
        <v>0</v>
      </c>
      <c r="H54" s="40">
        <f t="shared" si="7"/>
        <v>0</v>
      </c>
      <c r="I54" s="237">
        <v>13</v>
      </c>
    </row>
    <row r="55" spans="1:9" s="12" customFormat="1" x14ac:dyDescent="0.2">
      <c r="A55" t="s">
        <v>577</v>
      </c>
      <c r="B55" t="s">
        <v>528</v>
      </c>
      <c r="C55" s="216" t="s">
        <v>160</v>
      </c>
      <c r="D55" s="246"/>
      <c r="E55" s="40">
        <f t="shared" si="5"/>
        <v>0</v>
      </c>
      <c r="F55" s="40">
        <f t="shared" si="6"/>
        <v>0</v>
      </c>
      <c r="G55" s="40">
        <f t="shared" si="4"/>
        <v>0</v>
      </c>
      <c r="H55" s="40">
        <f t="shared" si="7"/>
        <v>0</v>
      </c>
      <c r="I55" s="237">
        <v>13</v>
      </c>
    </row>
    <row r="56" spans="1:9" s="12" customFormat="1" x14ac:dyDescent="0.2">
      <c r="A56" t="s">
        <v>578</v>
      </c>
      <c r="B56" t="s">
        <v>528</v>
      </c>
      <c r="C56" s="216" t="s">
        <v>160</v>
      </c>
      <c r="D56" s="246"/>
      <c r="E56" s="40">
        <f t="shared" si="5"/>
        <v>0</v>
      </c>
      <c r="F56" s="40">
        <f t="shared" si="6"/>
        <v>0</v>
      </c>
      <c r="G56" s="40">
        <f t="shared" si="4"/>
        <v>0</v>
      </c>
      <c r="H56" s="40">
        <f t="shared" si="7"/>
        <v>0</v>
      </c>
      <c r="I56" s="237">
        <v>13</v>
      </c>
    </row>
    <row r="57" spans="1:9" s="12" customFormat="1" x14ac:dyDescent="0.2">
      <c r="A57" t="s">
        <v>579</v>
      </c>
      <c r="B57" t="s">
        <v>529</v>
      </c>
      <c r="C57" s="216" t="s">
        <v>160</v>
      </c>
      <c r="D57" s="246"/>
      <c r="E57" s="40">
        <f t="shared" si="5"/>
        <v>0</v>
      </c>
      <c r="F57" s="40">
        <f t="shared" si="6"/>
        <v>0</v>
      </c>
      <c r="G57" s="40">
        <f t="shared" si="4"/>
        <v>0</v>
      </c>
      <c r="H57" s="40">
        <f t="shared" si="7"/>
        <v>0</v>
      </c>
      <c r="I57" s="237">
        <v>13</v>
      </c>
    </row>
    <row r="58" spans="1:9" s="12" customFormat="1" x14ac:dyDescent="0.2">
      <c r="A58" t="s">
        <v>580</v>
      </c>
      <c r="B58" t="s">
        <v>530</v>
      </c>
      <c r="C58" s="216" t="s">
        <v>160</v>
      </c>
      <c r="D58" s="246"/>
      <c r="E58" s="40">
        <f t="shared" si="5"/>
        <v>0</v>
      </c>
      <c r="F58" s="40">
        <f t="shared" si="6"/>
        <v>0</v>
      </c>
      <c r="G58" s="40">
        <f t="shared" si="4"/>
        <v>0</v>
      </c>
      <c r="H58" s="40">
        <f t="shared" si="7"/>
        <v>0</v>
      </c>
      <c r="I58" s="237">
        <v>13</v>
      </c>
    </row>
    <row r="59" spans="1:9" s="12" customFormat="1" x14ac:dyDescent="0.2">
      <c r="A59" t="s">
        <v>581</v>
      </c>
      <c r="B59" t="s">
        <v>531</v>
      </c>
      <c r="C59" s="216" t="s">
        <v>160</v>
      </c>
      <c r="D59" s="246"/>
      <c r="E59" s="40">
        <f t="shared" si="5"/>
        <v>0</v>
      </c>
      <c r="F59" s="40">
        <f t="shared" si="6"/>
        <v>0</v>
      </c>
      <c r="G59" s="40">
        <f t="shared" si="4"/>
        <v>0</v>
      </c>
      <c r="H59" s="40">
        <f t="shared" si="7"/>
        <v>0</v>
      </c>
      <c r="I59" s="237">
        <v>13</v>
      </c>
    </row>
    <row r="60" spans="1:9" s="12" customFormat="1" x14ac:dyDescent="0.2">
      <c r="A60" t="s">
        <v>582</v>
      </c>
      <c r="B60" t="s">
        <v>520</v>
      </c>
      <c r="C60" s="216" t="s">
        <v>160</v>
      </c>
      <c r="D60" s="246"/>
      <c r="E60" s="40">
        <f t="shared" si="5"/>
        <v>0</v>
      </c>
      <c r="F60" s="40">
        <f t="shared" si="6"/>
        <v>0</v>
      </c>
      <c r="G60" s="40">
        <f t="shared" si="4"/>
        <v>0</v>
      </c>
      <c r="H60" s="40">
        <f t="shared" si="7"/>
        <v>0</v>
      </c>
      <c r="I60" s="237">
        <v>13</v>
      </c>
    </row>
    <row r="61" spans="1:9" s="12" customFormat="1" x14ac:dyDescent="0.2">
      <c r="A61" t="s">
        <v>583</v>
      </c>
      <c r="B61" t="s">
        <v>520</v>
      </c>
      <c r="C61" s="216" t="s">
        <v>160</v>
      </c>
      <c r="D61" s="246"/>
      <c r="E61" s="40">
        <f t="shared" si="5"/>
        <v>0</v>
      </c>
      <c r="F61" s="40">
        <f t="shared" si="6"/>
        <v>0</v>
      </c>
      <c r="G61" s="40">
        <f t="shared" si="4"/>
        <v>0</v>
      </c>
      <c r="H61" s="40">
        <f t="shared" si="7"/>
        <v>0</v>
      </c>
      <c r="I61" s="237">
        <v>13</v>
      </c>
    </row>
    <row r="62" spans="1:9" s="12" customFormat="1" x14ac:dyDescent="0.2">
      <c r="A62" t="s">
        <v>584</v>
      </c>
      <c r="B62" t="s">
        <v>520</v>
      </c>
      <c r="C62" s="216" t="s">
        <v>160</v>
      </c>
      <c r="D62" s="246"/>
      <c r="E62" s="40">
        <f t="shared" si="5"/>
        <v>0</v>
      </c>
      <c r="F62" s="40">
        <f t="shared" si="6"/>
        <v>0</v>
      </c>
      <c r="G62" s="40">
        <f t="shared" si="4"/>
        <v>0</v>
      </c>
      <c r="H62" s="40">
        <f t="shared" si="7"/>
        <v>0</v>
      </c>
      <c r="I62" s="237">
        <v>13</v>
      </c>
    </row>
    <row r="63" spans="1:9" s="12" customFormat="1" x14ac:dyDescent="0.2">
      <c r="A63" t="s">
        <v>585</v>
      </c>
      <c r="B63" t="s">
        <v>520</v>
      </c>
      <c r="C63" s="216" t="s">
        <v>160</v>
      </c>
      <c r="D63" s="246"/>
      <c r="E63" s="40">
        <f t="shared" si="5"/>
        <v>0</v>
      </c>
      <c r="F63" s="40">
        <f t="shared" si="6"/>
        <v>0</v>
      </c>
      <c r="G63" s="40">
        <f t="shared" si="4"/>
        <v>0</v>
      </c>
      <c r="H63" s="40">
        <f t="shared" si="7"/>
        <v>0</v>
      </c>
      <c r="I63" s="237">
        <v>13</v>
      </c>
    </row>
    <row r="64" spans="1:9" s="12" customFormat="1" x14ac:dyDescent="0.2">
      <c r="A64" t="s">
        <v>586</v>
      </c>
      <c r="B64" t="s">
        <v>520</v>
      </c>
      <c r="C64" s="216" t="s">
        <v>160</v>
      </c>
      <c r="D64" s="246"/>
      <c r="E64" s="40">
        <f t="shared" si="5"/>
        <v>0</v>
      </c>
      <c r="F64" s="40">
        <f t="shared" si="6"/>
        <v>0</v>
      </c>
      <c r="G64" s="40">
        <f t="shared" si="4"/>
        <v>0</v>
      </c>
      <c r="H64" s="40">
        <f t="shared" si="7"/>
        <v>0</v>
      </c>
      <c r="I64" s="237">
        <v>13</v>
      </c>
    </row>
    <row r="65" spans="1:9" s="12" customFormat="1" x14ac:dyDescent="0.2">
      <c r="A65" t="s">
        <v>587</v>
      </c>
      <c r="B65" t="s">
        <v>532</v>
      </c>
      <c r="C65" s="216" t="s">
        <v>160</v>
      </c>
      <c r="D65" s="246"/>
      <c r="E65" s="40">
        <f t="shared" si="5"/>
        <v>0</v>
      </c>
      <c r="F65" s="40">
        <f t="shared" si="6"/>
        <v>0</v>
      </c>
      <c r="G65" s="40">
        <f t="shared" si="4"/>
        <v>0</v>
      </c>
      <c r="H65" s="40">
        <f t="shared" si="7"/>
        <v>0</v>
      </c>
      <c r="I65" s="237">
        <v>13</v>
      </c>
    </row>
    <row r="66" spans="1:9" s="12" customFormat="1" x14ac:dyDescent="0.2">
      <c r="A66" t="s">
        <v>588</v>
      </c>
      <c r="B66" t="s">
        <v>511</v>
      </c>
      <c r="C66" s="216" t="s">
        <v>160</v>
      </c>
      <c r="D66" s="246"/>
      <c r="E66" s="40">
        <f t="shared" si="5"/>
        <v>0</v>
      </c>
      <c r="F66" s="40">
        <f t="shared" si="6"/>
        <v>0</v>
      </c>
      <c r="G66" s="40">
        <f t="shared" si="4"/>
        <v>0</v>
      </c>
      <c r="H66" s="40">
        <f t="shared" si="7"/>
        <v>0</v>
      </c>
      <c r="I66" s="237">
        <v>13</v>
      </c>
    </row>
    <row r="67" spans="1:9" s="12" customFormat="1" x14ac:dyDescent="0.2">
      <c r="A67" t="s">
        <v>589</v>
      </c>
      <c r="B67" t="s">
        <v>508</v>
      </c>
      <c r="C67" s="216" t="s">
        <v>160</v>
      </c>
      <c r="D67" s="246"/>
      <c r="E67" s="40">
        <f t="shared" si="5"/>
        <v>0</v>
      </c>
      <c r="F67" s="40">
        <f t="shared" si="6"/>
        <v>0</v>
      </c>
      <c r="G67" s="40">
        <f t="shared" si="4"/>
        <v>0</v>
      </c>
      <c r="H67" s="40">
        <f t="shared" si="7"/>
        <v>0</v>
      </c>
      <c r="I67" s="237">
        <v>13</v>
      </c>
    </row>
    <row r="68" spans="1:9" s="12" customFormat="1" x14ac:dyDescent="0.2">
      <c r="A68" t="s">
        <v>590</v>
      </c>
      <c r="B68" t="s">
        <v>533</v>
      </c>
      <c r="C68" s="249" t="s">
        <v>161</v>
      </c>
      <c r="D68" s="246"/>
      <c r="E68" s="40">
        <f t="shared" si="5"/>
        <v>0</v>
      </c>
      <c r="F68" s="40">
        <f t="shared" si="6"/>
        <v>0</v>
      </c>
      <c r="G68" s="40">
        <f t="shared" si="4"/>
        <v>0</v>
      </c>
      <c r="H68" s="40">
        <f t="shared" si="7"/>
        <v>0</v>
      </c>
      <c r="I68" s="237">
        <v>13</v>
      </c>
    </row>
    <row r="69" spans="1:9" s="12" customFormat="1" x14ac:dyDescent="0.2">
      <c r="A69" t="s">
        <v>591</v>
      </c>
      <c r="B69" t="s">
        <v>533</v>
      </c>
      <c r="C69" s="249" t="s">
        <v>161</v>
      </c>
      <c r="D69" s="246"/>
      <c r="E69" s="40">
        <f t="shared" si="5"/>
        <v>0</v>
      </c>
      <c r="F69" s="40">
        <f t="shared" si="6"/>
        <v>0</v>
      </c>
      <c r="G69" s="40">
        <f t="shared" ref="G69:G100" si="8">D69-E69</f>
        <v>0</v>
      </c>
      <c r="H69" s="40">
        <f t="shared" si="7"/>
        <v>0</v>
      </c>
      <c r="I69" s="237">
        <v>13</v>
      </c>
    </row>
    <row r="70" spans="1:9" s="12" customFormat="1" x14ac:dyDescent="0.2">
      <c r="A70" t="s">
        <v>592</v>
      </c>
      <c r="B70" t="s">
        <v>534</v>
      </c>
      <c r="C70" s="249" t="s">
        <v>161</v>
      </c>
      <c r="D70" s="246"/>
      <c r="E70" s="40">
        <f t="shared" si="5"/>
        <v>0</v>
      </c>
      <c r="F70" s="40">
        <f t="shared" si="6"/>
        <v>0</v>
      </c>
      <c r="G70" s="40">
        <f t="shared" si="8"/>
        <v>0</v>
      </c>
      <c r="H70" s="40">
        <f t="shared" si="7"/>
        <v>0</v>
      </c>
      <c r="I70" s="237">
        <v>13</v>
      </c>
    </row>
    <row r="71" spans="1:9" s="12" customFormat="1" x14ac:dyDescent="0.2">
      <c r="A71" t="s">
        <v>593</v>
      </c>
      <c r="B71" t="s">
        <v>534</v>
      </c>
      <c r="C71" s="249" t="s">
        <v>161</v>
      </c>
      <c r="D71" s="246"/>
      <c r="E71" s="40">
        <f t="shared" si="5"/>
        <v>0</v>
      </c>
      <c r="F71" s="40">
        <f t="shared" si="6"/>
        <v>0</v>
      </c>
      <c r="G71" s="40">
        <f t="shared" si="8"/>
        <v>0</v>
      </c>
      <c r="H71" s="40">
        <f t="shared" si="7"/>
        <v>0</v>
      </c>
      <c r="I71" s="237">
        <v>13</v>
      </c>
    </row>
    <row r="72" spans="1:9" s="12" customFormat="1" x14ac:dyDescent="0.2">
      <c r="A72" t="s">
        <v>594</v>
      </c>
      <c r="B72" t="s">
        <v>519</v>
      </c>
      <c r="C72" s="248" t="s">
        <v>160</v>
      </c>
      <c r="D72" s="246"/>
      <c r="E72" s="40">
        <f t="shared" si="5"/>
        <v>0</v>
      </c>
      <c r="F72" s="40">
        <f t="shared" si="6"/>
        <v>0</v>
      </c>
      <c r="G72" s="40">
        <f t="shared" si="8"/>
        <v>0</v>
      </c>
      <c r="H72" s="40">
        <f t="shared" si="7"/>
        <v>0</v>
      </c>
      <c r="I72" s="237">
        <v>13</v>
      </c>
    </row>
    <row r="73" spans="1:9" s="12" customFormat="1" x14ac:dyDescent="0.2">
      <c r="A73" t="s">
        <v>595</v>
      </c>
      <c r="B73" t="s">
        <v>528</v>
      </c>
      <c r="C73" s="248" t="s">
        <v>160</v>
      </c>
      <c r="D73" s="246"/>
      <c r="E73" s="40">
        <f t="shared" si="5"/>
        <v>0</v>
      </c>
      <c r="F73" s="40">
        <f t="shared" si="6"/>
        <v>0</v>
      </c>
      <c r="G73" s="40">
        <f t="shared" si="8"/>
        <v>0</v>
      </c>
      <c r="H73" s="40">
        <f t="shared" si="7"/>
        <v>0</v>
      </c>
      <c r="I73" s="237">
        <v>13</v>
      </c>
    </row>
    <row r="74" spans="1:9" s="12" customFormat="1" x14ac:dyDescent="0.2">
      <c r="A74" t="s">
        <v>596</v>
      </c>
      <c r="B74" t="s">
        <v>535</v>
      </c>
      <c r="C74" s="248" t="s">
        <v>160</v>
      </c>
      <c r="D74" s="246"/>
      <c r="E74" s="40">
        <f t="shared" si="5"/>
        <v>0</v>
      </c>
      <c r="F74" s="40">
        <f t="shared" si="6"/>
        <v>0</v>
      </c>
      <c r="G74" s="40">
        <f t="shared" si="8"/>
        <v>0</v>
      </c>
      <c r="H74" s="40">
        <f t="shared" si="7"/>
        <v>0</v>
      </c>
      <c r="I74" s="237">
        <v>13</v>
      </c>
    </row>
    <row r="75" spans="1:9" s="12" customFormat="1" x14ac:dyDescent="0.2">
      <c r="A75" t="s">
        <v>597</v>
      </c>
      <c r="B75" t="s">
        <v>520</v>
      </c>
      <c r="C75" s="248" t="s">
        <v>160</v>
      </c>
      <c r="D75" s="246"/>
      <c r="E75" s="40">
        <f t="shared" si="5"/>
        <v>0</v>
      </c>
      <c r="F75" s="40">
        <f t="shared" si="6"/>
        <v>0</v>
      </c>
      <c r="G75" s="40">
        <f t="shared" si="8"/>
        <v>0</v>
      </c>
      <c r="H75" s="40">
        <f t="shared" si="7"/>
        <v>0</v>
      </c>
      <c r="I75" s="237">
        <v>13</v>
      </c>
    </row>
    <row r="76" spans="1:9" s="12" customFormat="1" x14ac:dyDescent="0.2">
      <c r="A76" t="s">
        <v>598</v>
      </c>
      <c r="B76" t="s">
        <v>520</v>
      </c>
      <c r="C76" s="248" t="s">
        <v>160</v>
      </c>
      <c r="D76" s="246"/>
      <c r="E76" s="40">
        <f t="shared" si="5"/>
        <v>0</v>
      </c>
      <c r="F76" s="40">
        <f t="shared" si="6"/>
        <v>0</v>
      </c>
      <c r="G76" s="40">
        <f t="shared" si="8"/>
        <v>0</v>
      </c>
      <c r="H76" s="40">
        <f t="shared" si="7"/>
        <v>0</v>
      </c>
      <c r="I76" s="237">
        <v>13</v>
      </c>
    </row>
    <row r="77" spans="1:9" s="12" customFormat="1" x14ac:dyDescent="0.2">
      <c r="A77" t="s">
        <v>599</v>
      </c>
      <c r="B77" t="s">
        <v>520</v>
      </c>
      <c r="C77" s="248" t="s">
        <v>160</v>
      </c>
      <c r="D77" s="246"/>
      <c r="E77" s="40">
        <f t="shared" si="5"/>
        <v>0</v>
      </c>
      <c r="F77" s="40">
        <f t="shared" si="6"/>
        <v>0</v>
      </c>
      <c r="G77" s="40">
        <f t="shared" si="8"/>
        <v>0</v>
      </c>
      <c r="H77" s="40">
        <f t="shared" si="7"/>
        <v>0</v>
      </c>
      <c r="I77" s="237">
        <v>13</v>
      </c>
    </row>
    <row r="78" spans="1:9" s="12" customFormat="1" x14ac:dyDescent="0.2">
      <c r="A78" t="s">
        <v>600</v>
      </c>
      <c r="B78" t="s">
        <v>520</v>
      </c>
      <c r="C78" s="248" t="s">
        <v>160</v>
      </c>
      <c r="D78" s="246"/>
      <c r="E78" s="40">
        <f t="shared" ref="E78:E109" si="9">ROUNDUP(D78*70%,0)</f>
        <v>0</v>
      </c>
      <c r="F78" s="40">
        <f t="shared" si="6"/>
        <v>0</v>
      </c>
      <c r="G78" s="40">
        <f t="shared" si="8"/>
        <v>0</v>
      </c>
      <c r="H78" s="40">
        <f t="shared" si="7"/>
        <v>0</v>
      </c>
      <c r="I78" s="237">
        <v>13</v>
      </c>
    </row>
    <row r="79" spans="1:9" s="12" customFormat="1" x14ac:dyDescent="0.2">
      <c r="A79" s="247" t="s">
        <v>433</v>
      </c>
      <c r="B79" t="s">
        <v>535</v>
      </c>
      <c r="C79" s="248" t="s">
        <v>160</v>
      </c>
      <c r="D79" s="246"/>
      <c r="E79" s="40">
        <f t="shared" si="9"/>
        <v>0</v>
      </c>
      <c r="F79" s="40">
        <f t="shared" si="6"/>
        <v>0</v>
      </c>
      <c r="G79" s="40">
        <f t="shared" si="8"/>
        <v>0</v>
      </c>
      <c r="H79" s="40">
        <f t="shared" si="7"/>
        <v>0</v>
      </c>
      <c r="I79" s="237">
        <v>13</v>
      </c>
    </row>
    <row r="80" spans="1:9" s="12" customFormat="1" ht="11.25" x14ac:dyDescent="0.2">
      <c r="A80" s="216"/>
      <c r="B80" s="216"/>
      <c r="C80" s="216"/>
      <c r="D80" s="236"/>
      <c r="E80" s="40">
        <f t="shared" si="9"/>
        <v>0</v>
      </c>
      <c r="F80" s="40">
        <f t="shared" si="6"/>
        <v>0</v>
      </c>
      <c r="G80" s="40">
        <f t="shared" si="8"/>
        <v>0</v>
      </c>
      <c r="H80" s="40">
        <f t="shared" si="7"/>
        <v>0</v>
      </c>
      <c r="I80" s="237">
        <v>13</v>
      </c>
    </row>
    <row r="81" spans="1:9" s="12" customFormat="1" ht="11.25" x14ac:dyDescent="0.2">
      <c r="A81" s="216"/>
      <c r="B81" s="216"/>
      <c r="C81" s="216"/>
      <c r="D81" s="236"/>
      <c r="E81" s="40">
        <f t="shared" si="9"/>
        <v>0</v>
      </c>
      <c r="F81" s="40">
        <f t="shared" si="6"/>
        <v>0</v>
      </c>
      <c r="G81" s="40">
        <f t="shared" si="8"/>
        <v>0</v>
      </c>
      <c r="H81" s="40">
        <f t="shared" si="7"/>
        <v>0</v>
      </c>
      <c r="I81" s="237">
        <v>13</v>
      </c>
    </row>
    <row r="82" spans="1:9" s="12" customFormat="1" ht="11.25" x14ac:dyDescent="0.2">
      <c r="A82" s="216"/>
      <c r="B82" s="216"/>
      <c r="C82" s="216"/>
      <c r="D82" s="236"/>
      <c r="E82" s="40">
        <f t="shared" si="9"/>
        <v>0</v>
      </c>
      <c r="F82" s="40">
        <f t="shared" ref="F82:F113" si="10">IF(D82=0,0,ebédjegy*munkanapok)</f>
        <v>0</v>
      </c>
      <c r="G82" s="40">
        <f t="shared" si="8"/>
        <v>0</v>
      </c>
      <c r="H82" s="40">
        <f t="shared" ref="H82:H113" si="11">ROUNDUP(D82*adókulcs,0)</f>
        <v>0</v>
      </c>
      <c r="I82" s="237">
        <v>13</v>
      </c>
    </row>
    <row r="83" spans="1:9" s="12" customFormat="1" ht="11.25" x14ac:dyDescent="0.2">
      <c r="A83" s="216"/>
      <c r="B83" s="216"/>
      <c r="C83" s="216"/>
      <c r="D83" s="236"/>
      <c r="E83" s="40">
        <f t="shared" si="9"/>
        <v>0</v>
      </c>
      <c r="F83" s="40">
        <f t="shared" si="10"/>
        <v>0</v>
      </c>
      <c r="G83" s="40">
        <f t="shared" si="8"/>
        <v>0</v>
      </c>
      <c r="H83" s="40">
        <f t="shared" si="11"/>
        <v>0</v>
      </c>
      <c r="I83" s="237">
        <v>13</v>
      </c>
    </row>
    <row r="84" spans="1:9" s="12" customFormat="1" ht="11.25" x14ac:dyDescent="0.2">
      <c r="A84" s="216"/>
      <c r="B84" s="216"/>
      <c r="C84" s="216"/>
      <c r="D84" s="236"/>
      <c r="E84" s="40">
        <f t="shared" si="9"/>
        <v>0</v>
      </c>
      <c r="F84" s="40">
        <f t="shared" si="10"/>
        <v>0</v>
      </c>
      <c r="G84" s="40">
        <f t="shared" si="8"/>
        <v>0</v>
      </c>
      <c r="H84" s="40">
        <f t="shared" si="11"/>
        <v>0</v>
      </c>
      <c r="I84" s="237">
        <v>13</v>
      </c>
    </row>
    <row r="85" spans="1:9" s="12" customFormat="1" ht="11.25" x14ac:dyDescent="0.2">
      <c r="A85" s="216"/>
      <c r="B85" s="216"/>
      <c r="C85" s="216"/>
      <c r="D85" s="236"/>
      <c r="E85" s="40">
        <f t="shared" si="9"/>
        <v>0</v>
      </c>
      <c r="F85" s="40">
        <f t="shared" si="10"/>
        <v>0</v>
      </c>
      <c r="G85" s="40">
        <f t="shared" si="8"/>
        <v>0</v>
      </c>
      <c r="H85" s="40">
        <f t="shared" si="11"/>
        <v>0</v>
      </c>
      <c r="I85" s="237">
        <v>13</v>
      </c>
    </row>
    <row r="86" spans="1:9" s="12" customFormat="1" ht="11.25" x14ac:dyDescent="0.2">
      <c r="A86" s="216"/>
      <c r="B86" s="216"/>
      <c r="C86" s="216"/>
      <c r="D86" s="236"/>
      <c r="E86" s="40">
        <f t="shared" si="9"/>
        <v>0</v>
      </c>
      <c r="F86" s="40">
        <f t="shared" si="10"/>
        <v>0</v>
      </c>
      <c r="G86" s="40">
        <f t="shared" si="8"/>
        <v>0</v>
      </c>
      <c r="H86" s="40">
        <f t="shared" si="11"/>
        <v>0</v>
      </c>
      <c r="I86" s="237">
        <v>13</v>
      </c>
    </row>
    <row r="87" spans="1:9" s="12" customFormat="1" ht="11.25" x14ac:dyDescent="0.2">
      <c r="A87" s="216"/>
      <c r="B87" s="216"/>
      <c r="C87" s="216"/>
      <c r="D87" s="236"/>
      <c r="E87" s="40">
        <f t="shared" si="9"/>
        <v>0</v>
      </c>
      <c r="F87" s="40">
        <f t="shared" si="10"/>
        <v>0</v>
      </c>
      <c r="G87" s="40">
        <f t="shared" si="8"/>
        <v>0</v>
      </c>
      <c r="H87" s="40">
        <f t="shared" si="11"/>
        <v>0</v>
      </c>
      <c r="I87" s="237">
        <v>13</v>
      </c>
    </row>
    <row r="88" spans="1:9" s="12" customFormat="1" ht="11.25" x14ac:dyDescent="0.2">
      <c r="A88" s="216"/>
      <c r="B88" s="216"/>
      <c r="C88" s="216"/>
      <c r="D88" s="236"/>
      <c r="E88" s="40">
        <f t="shared" si="9"/>
        <v>0</v>
      </c>
      <c r="F88" s="40">
        <f t="shared" si="10"/>
        <v>0</v>
      </c>
      <c r="G88" s="40">
        <f t="shared" si="8"/>
        <v>0</v>
      </c>
      <c r="H88" s="40">
        <f t="shared" si="11"/>
        <v>0</v>
      </c>
      <c r="I88" s="237">
        <v>13</v>
      </c>
    </row>
    <row r="89" spans="1:9" s="12" customFormat="1" ht="11.25" x14ac:dyDescent="0.2">
      <c r="A89" s="216"/>
      <c r="B89" s="216"/>
      <c r="C89" s="216"/>
      <c r="D89" s="236"/>
      <c r="E89" s="40">
        <f t="shared" si="9"/>
        <v>0</v>
      </c>
      <c r="F89" s="40">
        <f t="shared" si="10"/>
        <v>0</v>
      </c>
      <c r="G89" s="40">
        <f t="shared" si="8"/>
        <v>0</v>
      </c>
      <c r="H89" s="40">
        <f t="shared" si="11"/>
        <v>0</v>
      </c>
      <c r="I89" s="237">
        <v>13</v>
      </c>
    </row>
    <row r="90" spans="1:9" s="12" customFormat="1" ht="11.25" x14ac:dyDescent="0.2">
      <c r="A90" s="216"/>
      <c r="B90" s="216"/>
      <c r="C90" s="216"/>
      <c r="D90" s="236"/>
      <c r="E90" s="40">
        <f t="shared" si="9"/>
        <v>0</v>
      </c>
      <c r="F90" s="40">
        <f t="shared" si="10"/>
        <v>0</v>
      </c>
      <c r="G90" s="40">
        <f t="shared" si="8"/>
        <v>0</v>
      </c>
      <c r="H90" s="40">
        <f t="shared" si="11"/>
        <v>0</v>
      </c>
      <c r="I90" s="237">
        <v>13</v>
      </c>
    </row>
    <row r="91" spans="1:9" s="12" customFormat="1" ht="11.25" x14ac:dyDescent="0.2">
      <c r="A91" s="216"/>
      <c r="B91" s="216"/>
      <c r="C91" s="216"/>
      <c r="D91" s="236"/>
      <c r="E91" s="40">
        <f t="shared" si="9"/>
        <v>0</v>
      </c>
      <c r="F91" s="40">
        <f t="shared" si="10"/>
        <v>0</v>
      </c>
      <c r="G91" s="40">
        <f t="shared" si="8"/>
        <v>0</v>
      </c>
      <c r="H91" s="40">
        <f t="shared" si="11"/>
        <v>0</v>
      </c>
      <c r="I91" s="237">
        <v>13</v>
      </c>
    </row>
    <row r="92" spans="1:9" s="12" customFormat="1" ht="11.25" x14ac:dyDescent="0.2">
      <c r="A92" s="216"/>
      <c r="B92" s="216"/>
      <c r="C92" s="216"/>
      <c r="D92" s="236"/>
      <c r="E92" s="40">
        <f t="shared" si="9"/>
        <v>0</v>
      </c>
      <c r="F92" s="40">
        <f t="shared" si="10"/>
        <v>0</v>
      </c>
      <c r="G92" s="40">
        <f t="shared" si="8"/>
        <v>0</v>
      </c>
      <c r="H92" s="40">
        <f t="shared" si="11"/>
        <v>0</v>
      </c>
      <c r="I92" s="237">
        <v>13</v>
      </c>
    </row>
    <row r="93" spans="1:9" s="12" customFormat="1" ht="11.25" x14ac:dyDescent="0.2">
      <c r="A93" s="216"/>
      <c r="B93" s="216"/>
      <c r="C93" s="216"/>
      <c r="D93" s="236"/>
      <c r="E93" s="40">
        <f t="shared" si="9"/>
        <v>0</v>
      </c>
      <c r="F93" s="40">
        <f t="shared" si="10"/>
        <v>0</v>
      </c>
      <c r="G93" s="40">
        <f t="shared" si="8"/>
        <v>0</v>
      </c>
      <c r="H93" s="40">
        <f t="shared" si="11"/>
        <v>0</v>
      </c>
      <c r="I93" s="237">
        <v>13</v>
      </c>
    </row>
    <row r="94" spans="1:9" s="12" customFormat="1" ht="11.25" x14ac:dyDescent="0.2">
      <c r="A94" s="216"/>
      <c r="B94" s="216"/>
      <c r="C94" s="216"/>
      <c r="D94" s="236"/>
      <c r="E94" s="40">
        <f t="shared" si="9"/>
        <v>0</v>
      </c>
      <c r="F94" s="40">
        <f t="shared" si="10"/>
        <v>0</v>
      </c>
      <c r="G94" s="40">
        <f t="shared" si="8"/>
        <v>0</v>
      </c>
      <c r="H94" s="40">
        <f t="shared" si="11"/>
        <v>0</v>
      </c>
      <c r="I94" s="237">
        <v>13</v>
      </c>
    </row>
    <row r="95" spans="1:9" s="12" customFormat="1" ht="11.25" x14ac:dyDescent="0.2">
      <c r="A95" s="216"/>
      <c r="B95" s="216"/>
      <c r="C95" s="216"/>
      <c r="D95" s="236"/>
      <c r="E95" s="40">
        <f t="shared" si="9"/>
        <v>0</v>
      </c>
      <c r="F95" s="40">
        <f t="shared" si="10"/>
        <v>0</v>
      </c>
      <c r="G95" s="40">
        <f t="shared" si="8"/>
        <v>0</v>
      </c>
      <c r="H95" s="40">
        <f t="shared" si="11"/>
        <v>0</v>
      </c>
      <c r="I95" s="237">
        <v>13</v>
      </c>
    </row>
    <row r="96" spans="1:9" s="12" customFormat="1" ht="11.25" x14ac:dyDescent="0.2">
      <c r="A96" s="216"/>
      <c r="B96" s="216"/>
      <c r="C96" s="216"/>
      <c r="D96" s="236"/>
      <c r="E96" s="40">
        <f t="shared" si="9"/>
        <v>0</v>
      </c>
      <c r="F96" s="40">
        <f t="shared" si="10"/>
        <v>0</v>
      </c>
      <c r="G96" s="40">
        <f t="shared" si="8"/>
        <v>0</v>
      </c>
      <c r="H96" s="40">
        <f t="shared" si="11"/>
        <v>0</v>
      </c>
      <c r="I96" s="237">
        <v>13</v>
      </c>
    </row>
    <row r="97" spans="1:9" s="12" customFormat="1" ht="11.25" x14ac:dyDescent="0.2">
      <c r="A97" s="216"/>
      <c r="B97" s="216"/>
      <c r="C97" s="216"/>
      <c r="D97" s="236"/>
      <c r="E97" s="40">
        <f t="shared" si="9"/>
        <v>0</v>
      </c>
      <c r="F97" s="40">
        <f t="shared" si="10"/>
        <v>0</v>
      </c>
      <c r="G97" s="40">
        <f t="shared" si="8"/>
        <v>0</v>
      </c>
      <c r="H97" s="40">
        <f t="shared" si="11"/>
        <v>0</v>
      </c>
      <c r="I97" s="237">
        <v>13</v>
      </c>
    </row>
    <row r="98" spans="1:9" s="12" customFormat="1" ht="11.25" x14ac:dyDescent="0.2">
      <c r="A98" s="216"/>
      <c r="B98" s="216"/>
      <c r="C98" s="216"/>
      <c r="D98" s="236"/>
      <c r="E98" s="40">
        <f t="shared" si="9"/>
        <v>0</v>
      </c>
      <c r="F98" s="40">
        <f t="shared" si="10"/>
        <v>0</v>
      </c>
      <c r="G98" s="40">
        <f t="shared" si="8"/>
        <v>0</v>
      </c>
      <c r="H98" s="40">
        <f t="shared" si="11"/>
        <v>0</v>
      </c>
      <c r="I98" s="237">
        <v>13</v>
      </c>
    </row>
    <row r="99" spans="1:9" s="12" customFormat="1" ht="11.25" x14ac:dyDescent="0.2">
      <c r="A99" s="216"/>
      <c r="B99" s="216"/>
      <c r="C99" s="216"/>
      <c r="D99" s="236"/>
      <c r="E99" s="40">
        <f t="shared" si="9"/>
        <v>0</v>
      </c>
      <c r="F99" s="40">
        <f t="shared" si="10"/>
        <v>0</v>
      </c>
      <c r="G99" s="40">
        <f t="shared" si="8"/>
        <v>0</v>
      </c>
      <c r="H99" s="40">
        <f t="shared" si="11"/>
        <v>0</v>
      </c>
      <c r="I99" s="237">
        <v>13</v>
      </c>
    </row>
    <row r="100" spans="1:9" s="12" customFormat="1" ht="11.25" x14ac:dyDescent="0.2">
      <c r="A100" s="216"/>
      <c r="B100" s="216"/>
      <c r="C100" s="216"/>
      <c r="D100" s="236"/>
      <c r="E100" s="40">
        <f t="shared" si="9"/>
        <v>0</v>
      </c>
      <c r="F100" s="40">
        <f t="shared" si="10"/>
        <v>0</v>
      </c>
      <c r="G100" s="40">
        <f t="shared" si="8"/>
        <v>0</v>
      </c>
      <c r="H100" s="40">
        <f t="shared" si="11"/>
        <v>0</v>
      </c>
      <c r="I100" s="237">
        <v>13</v>
      </c>
    </row>
    <row r="101" spans="1:9" s="12" customFormat="1" ht="11.25" x14ac:dyDescent="0.2">
      <c r="A101" s="216"/>
      <c r="B101" s="216"/>
      <c r="C101" s="216"/>
      <c r="D101" s="236"/>
      <c r="E101" s="40">
        <f t="shared" si="9"/>
        <v>0</v>
      </c>
      <c r="F101" s="40">
        <f t="shared" si="10"/>
        <v>0</v>
      </c>
      <c r="G101" s="40">
        <f t="shared" ref="G101:G132" si="12">D101-E101</f>
        <v>0</v>
      </c>
      <c r="H101" s="40">
        <f t="shared" si="11"/>
        <v>0</v>
      </c>
      <c r="I101" s="237">
        <v>13</v>
      </c>
    </row>
    <row r="102" spans="1:9" s="12" customFormat="1" ht="11.25" x14ac:dyDescent="0.2">
      <c r="A102" s="216"/>
      <c r="B102" s="216"/>
      <c r="C102" s="216"/>
      <c r="D102" s="236"/>
      <c r="E102" s="40">
        <f t="shared" si="9"/>
        <v>0</v>
      </c>
      <c r="F102" s="40">
        <f t="shared" si="10"/>
        <v>0</v>
      </c>
      <c r="G102" s="40">
        <f t="shared" si="12"/>
        <v>0</v>
      </c>
      <c r="H102" s="40">
        <f t="shared" si="11"/>
        <v>0</v>
      </c>
      <c r="I102" s="237">
        <v>13</v>
      </c>
    </row>
    <row r="103" spans="1:9" s="12" customFormat="1" ht="11.25" x14ac:dyDescent="0.2">
      <c r="A103" s="216"/>
      <c r="B103" s="216"/>
      <c r="C103" s="216"/>
      <c r="D103" s="236"/>
      <c r="E103" s="40">
        <f t="shared" si="9"/>
        <v>0</v>
      </c>
      <c r="F103" s="40">
        <f t="shared" si="10"/>
        <v>0</v>
      </c>
      <c r="G103" s="40">
        <f t="shared" si="12"/>
        <v>0</v>
      </c>
      <c r="H103" s="40">
        <f t="shared" si="11"/>
        <v>0</v>
      </c>
      <c r="I103" s="237">
        <v>13</v>
      </c>
    </row>
    <row r="104" spans="1:9" s="12" customFormat="1" ht="11.25" x14ac:dyDescent="0.2">
      <c r="A104" s="216"/>
      <c r="B104" s="216"/>
      <c r="C104" s="216"/>
      <c r="D104" s="236"/>
      <c r="E104" s="40">
        <f t="shared" si="9"/>
        <v>0</v>
      </c>
      <c r="F104" s="40">
        <f t="shared" si="10"/>
        <v>0</v>
      </c>
      <c r="G104" s="40">
        <f t="shared" si="12"/>
        <v>0</v>
      </c>
      <c r="H104" s="40">
        <f t="shared" si="11"/>
        <v>0</v>
      </c>
      <c r="I104" s="237">
        <v>13</v>
      </c>
    </row>
    <row r="105" spans="1:9" s="12" customFormat="1" ht="11.25" x14ac:dyDescent="0.2">
      <c r="A105" s="216"/>
      <c r="B105" s="216"/>
      <c r="C105" s="216"/>
      <c r="D105" s="236"/>
      <c r="E105" s="40">
        <f t="shared" si="9"/>
        <v>0</v>
      </c>
      <c r="F105" s="40">
        <f t="shared" si="10"/>
        <v>0</v>
      </c>
      <c r="G105" s="40">
        <f t="shared" si="12"/>
        <v>0</v>
      </c>
      <c r="H105" s="40">
        <f t="shared" si="11"/>
        <v>0</v>
      </c>
      <c r="I105" s="237">
        <v>13</v>
      </c>
    </row>
    <row r="106" spans="1:9" s="12" customFormat="1" ht="11.25" x14ac:dyDescent="0.2">
      <c r="A106" s="216"/>
      <c r="B106" s="216"/>
      <c r="C106" s="216"/>
      <c r="D106" s="236"/>
      <c r="E106" s="40">
        <f t="shared" si="9"/>
        <v>0</v>
      </c>
      <c r="F106" s="40">
        <f t="shared" si="10"/>
        <v>0</v>
      </c>
      <c r="G106" s="40">
        <f t="shared" si="12"/>
        <v>0</v>
      </c>
      <c r="H106" s="40">
        <f t="shared" si="11"/>
        <v>0</v>
      </c>
      <c r="I106" s="237">
        <v>13</v>
      </c>
    </row>
    <row r="107" spans="1:9" s="12" customFormat="1" ht="11.25" x14ac:dyDescent="0.2">
      <c r="A107" s="216"/>
      <c r="B107" s="216"/>
      <c r="C107" s="216"/>
      <c r="D107" s="236"/>
      <c r="E107" s="40">
        <f t="shared" si="9"/>
        <v>0</v>
      </c>
      <c r="F107" s="40">
        <f t="shared" si="10"/>
        <v>0</v>
      </c>
      <c r="G107" s="40">
        <f t="shared" si="12"/>
        <v>0</v>
      </c>
      <c r="H107" s="40">
        <f t="shared" si="11"/>
        <v>0</v>
      </c>
      <c r="I107" s="237">
        <v>13</v>
      </c>
    </row>
    <row r="108" spans="1:9" s="12" customFormat="1" ht="11.25" x14ac:dyDescent="0.2">
      <c r="A108" s="216"/>
      <c r="B108" s="216"/>
      <c r="C108" s="216"/>
      <c r="D108" s="236"/>
      <c r="E108" s="40">
        <f t="shared" si="9"/>
        <v>0</v>
      </c>
      <c r="F108" s="40">
        <f t="shared" si="10"/>
        <v>0</v>
      </c>
      <c r="G108" s="40">
        <f t="shared" si="12"/>
        <v>0</v>
      </c>
      <c r="H108" s="40">
        <f t="shared" si="11"/>
        <v>0</v>
      </c>
      <c r="I108" s="237">
        <v>13</v>
      </c>
    </row>
    <row r="109" spans="1:9" s="12" customFormat="1" ht="11.25" x14ac:dyDescent="0.2">
      <c r="A109" s="216"/>
      <c r="B109" s="216"/>
      <c r="C109" s="216"/>
      <c r="D109" s="236"/>
      <c r="E109" s="40">
        <f t="shared" si="9"/>
        <v>0</v>
      </c>
      <c r="F109" s="40">
        <f t="shared" si="10"/>
        <v>0</v>
      </c>
      <c r="G109" s="40">
        <f t="shared" si="12"/>
        <v>0</v>
      </c>
      <c r="H109" s="40">
        <f t="shared" si="11"/>
        <v>0</v>
      </c>
      <c r="I109" s="237">
        <v>13</v>
      </c>
    </row>
    <row r="110" spans="1:9" s="12" customFormat="1" ht="11.25" x14ac:dyDescent="0.2">
      <c r="A110" s="216"/>
      <c r="B110" s="216"/>
      <c r="C110" s="216"/>
      <c r="D110" s="236"/>
      <c r="E110" s="40">
        <f t="shared" ref="E110:E113" si="13">ROUNDUP(D110*70%,0)</f>
        <v>0</v>
      </c>
      <c r="F110" s="40">
        <f t="shared" si="10"/>
        <v>0</v>
      </c>
      <c r="G110" s="40">
        <f t="shared" si="12"/>
        <v>0</v>
      </c>
      <c r="H110" s="40">
        <f t="shared" si="11"/>
        <v>0</v>
      </c>
      <c r="I110" s="237">
        <v>13</v>
      </c>
    </row>
    <row r="111" spans="1:9" s="12" customFormat="1" ht="11.25" x14ac:dyDescent="0.2">
      <c r="A111" s="216"/>
      <c r="B111" s="216"/>
      <c r="C111" s="216"/>
      <c r="D111" s="236"/>
      <c r="E111" s="40">
        <f t="shared" si="13"/>
        <v>0</v>
      </c>
      <c r="F111" s="40">
        <f t="shared" si="10"/>
        <v>0</v>
      </c>
      <c r="G111" s="40">
        <f t="shared" si="12"/>
        <v>0</v>
      </c>
      <c r="H111" s="40">
        <f t="shared" si="11"/>
        <v>0</v>
      </c>
      <c r="I111" s="237">
        <v>13</v>
      </c>
    </row>
    <row r="112" spans="1:9" s="12" customFormat="1" ht="11.25" x14ac:dyDescent="0.2">
      <c r="A112" s="216"/>
      <c r="B112" s="216"/>
      <c r="C112" s="216"/>
      <c r="D112" s="236"/>
      <c r="E112" s="40">
        <f t="shared" si="13"/>
        <v>0</v>
      </c>
      <c r="F112" s="40">
        <f t="shared" si="10"/>
        <v>0</v>
      </c>
      <c r="G112" s="40">
        <f t="shared" si="12"/>
        <v>0</v>
      </c>
      <c r="H112" s="40">
        <f t="shared" si="11"/>
        <v>0</v>
      </c>
      <c r="I112" s="237">
        <v>13</v>
      </c>
    </row>
    <row r="113" spans="1:9" s="12" customFormat="1" ht="11.25" x14ac:dyDescent="0.2">
      <c r="A113" s="216"/>
      <c r="B113" s="216"/>
      <c r="C113" s="216"/>
      <c r="D113" s="236"/>
      <c r="E113" s="40">
        <f t="shared" si="13"/>
        <v>0</v>
      </c>
      <c r="F113" s="40">
        <f t="shared" si="10"/>
        <v>0</v>
      </c>
      <c r="G113" s="40">
        <f t="shared" si="12"/>
        <v>0</v>
      </c>
      <c r="H113" s="40">
        <f t="shared" si="11"/>
        <v>0</v>
      </c>
      <c r="I113" s="237">
        <v>13</v>
      </c>
    </row>
    <row r="114" spans="1:9" s="12" customFormat="1" ht="11.25" x14ac:dyDescent="0.2">
      <c r="A114" s="216"/>
      <c r="B114" s="216"/>
      <c r="C114" s="216"/>
      <c r="D114" s="236"/>
      <c r="E114" s="40">
        <f t="shared" ref="E114:E148" si="14">ROUNDUP(D114*70%,0)</f>
        <v>0</v>
      </c>
      <c r="F114" s="40">
        <f t="shared" ref="F114:F148" si="15">IF(D114=0,0,ebédjegy*munkanapok)</f>
        <v>0</v>
      </c>
      <c r="G114" s="40">
        <f t="shared" si="12"/>
        <v>0</v>
      </c>
      <c r="H114" s="40">
        <f t="shared" ref="H114:H148" si="16">ROUNDUP(D114*adókulcs,0)</f>
        <v>0</v>
      </c>
      <c r="I114" s="237">
        <v>13</v>
      </c>
    </row>
    <row r="115" spans="1:9" s="12" customFormat="1" ht="11.25" x14ac:dyDescent="0.2">
      <c r="A115" s="216"/>
      <c r="B115" s="216"/>
      <c r="C115" s="216"/>
      <c r="D115" s="236"/>
      <c r="E115" s="40">
        <f t="shared" si="14"/>
        <v>0</v>
      </c>
      <c r="F115" s="40">
        <f t="shared" si="15"/>
        <v>0</v>
      </c>
      <c r="G115" s="40">
        <f t="shared" si="12"/>
        <v>0</v>
      </c>
      <c r="H115" s="40">
        <f t="shared" si="16"/>
        <v>0</v>
      </c>
      <c r="I115" s="237">
        <v>13</v>
      </c>
    </row>
    <row r="116" spans="1:9" s="12" customFormat="1" ht="11.25" x14ac:dyDescent="0.2">
      <c r="A116" s="216"/>
      <c r="B116" s="216"/>
      <c r="C116" s="216"/>
      <c r="D116" s="236"/>
      <c r="E116" s="40">
        <f t="shared" si="14"/>
        <v>0</v>
      </c>
      <c r="F116" s="40">
        <f t="shared" si="15"/>
        <v>0</v>
      </c>
      <c r="G116" s="40">
        <f t="shared" si="12"/>
        <v>0</v>
      </c>
      <c r="H116" s="40">
        <f t="shared" si="16"/>
        <v>0</v>
      </c>
      <c r="I116" s="237">
        <v>13</v>
      </c>
    </row>
    <row r="117" spans="1:9" s="12" customFormat="1" ht="11.25" x14ac:dyDescent="0.2">
      <c r="A117" s="216"/>
      <c r="B117" s="216"/>
      <c r="C117" s="216"/>
      <c r="D117" s="236"/>
      <c r="E117" s="40">
        <f t="shared" si="14"/>
        <v>0</v>
      </c>
      <c r="F117" s="40">
        <f t="shared" si="15"/>
        <v>0</v>
      </c>
      <c r="G117" s="40">
        <f t="shared" si="12"/>
        <v>0</v>
      </c>
      <c r="H117" s="40">
        <f t="shared" si="16"/>
        <v>0</v>
      </c>
      <c r="I117" s="237">
        <v>13</v>
      </c>
    </row>
    <row r="118" spans="1:9" s="12" customFormat="1" ht="11.25" x14ac:dyDescent="0.2">
      <c r="A118" s="216"/>
      <c r="B118" s="216"/>
      <c r="C118" s="216"/>
      <c r="D118" s="236"/>
      <c r="E118" s="40">
        <f t="shared" si="14"/>
        <v>0</v>
      </c>
      <c r="F118" s="40">
        <f t="shared" si="15"/>
        <v>0</v>
      </c>
      <c r="G118" s="40">
        <f t="shared" si="12"/>
        <v>0</v>
      </c>
      <c r="H118" s="40">
        <f t="shared" si="16"/>
        <v>0</v>
      </c>
      <c r="I118" s="237">
        <v>13</v>
      </c>
    </row>
    <row r="119" spans="1:9" s="12" customFormat="1" ht="13.5" customHeight="1" x14ac:dyDescent="0.2">
      <c r="A119" s="216"/>
      <c r="B119" s="216"/>
      <c r="C119" s="216"/>
      <c r="D119" s="236"/>
      <c r="E119" s="40">
        <f t="shared" si="14"/>
        <v>0</v>
      </c>
      <c r="F119" s="40">
        <f t="shared" si="15"/>
        <v>0</v>
      </c>
      <c r="G119" s="40">
        <f t="shared" si="12"/>
        <v>0</v>
      </c>
      <c r="H119" s="40">
        <f t="shared" si="16"/>
        <v>0</v>
      </c>
      <c r="I119" s="237">
        <v>13</v>
      </c>
    </row>
    <row r="120" spans="1:9" s="12" customFormat="1" ht="11.25" x14ac:dyDescent="0.2">
      <c r="A120" s="216"/>
      <c r="B120" s="216"/>
      <c r="C120" s="216"/>
      <c r="D120" s="236"/>
      <c r="E120" s="40">
        <f t="shared" si="14"/>
        <v>0</v>
      </c>
      <c r="F120" s="40">
        <f t="shared" si="15"/>
        <v>0</v>
      </c>
      <c r="G120" s="40">
        <f t="shared" si="12"/>
        <v>0</v>
      </c>
      <c r="H120" s="40">
        <f t="shared" si="16"/>
        <v>0</v>
      </c>
      <c r="I120" s="237">
        <v>13</v>
      </c>
    </row>
    <row r="121" spans="1:9" s="12" customFormat="1" ht="11.25" x14ac:dyDescent="0.2">
      <c r="A121" s="216"/>
      <c r="B121" s="216"/>
      <c r="C121" s="216"/>
      <c r="D121" s="236"/>
      <c r="E121" s="40">
        <f t="shared" si="14"/>
        <v>0</v>
      </c>
      <c r="F121" s="40">
        <f t="shared" si="15"/>
        <v>0</v>
      </c>
      <c r="G121" s="40">
        <f t="shared" si="12"/>
        <v>0</v>
      </c>
      <c r="H121" s="40">
        <f t="shared" si="16"/>
        <v>0</v>
      </c>
      <c r="I121" s="237">
        <v>13</v>
      </c>
    </row>
    <row r="122" spans="1:9" s="12" customFormat="1" ht="11.25" x14ac:dyDescent="0.2">
      <c r="A122" s="216"/>
      <c r="B122" s="216"/>
      <c r="C122" s="216"/>
      <c r="D122" s="236"/>
      <c r="E122" s="40">
        <f t="shared" si="14"/>
        <v>0</v>
      </c>
      <c r="F122" s="40">
        <f t="shared" si="15"/>
        <v>0</v>
      </c>
      <c r="G122" s="40">
        <f t="shared" si="12"/>
        <v>0</v>
      </c>
      <c r="H122" s="40">
        <f t="shared" si="16"/>
        <v>0</v>
      </c>
      <c r="I122" s="237">
        <v>13</v>
      </c>
    </row>
    <row r="123" spans="1:9" s="12" customFormat="1" ht="11.25" x14ac:dyDescent="0.2">
      <c r="A123" s="216"/>
      <c r="B123" s="216"/>
      <c r="C123" s="216"/>
      <c r="D123" s="236"/>
      <c r="E123" s="40">
        <f t="shared" si="14"/>
        <v>0</v>
      </c>
      <c r="F123" s="40">
        <f t="shared" si="15"/>
        <v>0</v>
      </c>
      <c r="G123" s="40">
        <f t="shared" si="12"/>
        <v>0</v>
      </c>
      <c r="H123" s="40">
        <f t="shared" si="16"/>
        <v>0</v>
      </c>
      <c r="I123" s="237">
        <v>13</v>
      </c>
    </row>
    <row r="124" spans="1:9" s="12" customFormat="1" ht="11.25" x14ac:dyDescent="0.2">
      <c r="A124" s="216"/>
      <c r="B124" s="216"/>
      <c r="C124" s="216"/>
      <c r="D124" s="236"/>
      <c r="E124" s="40">
        <f t="shared" si="14"/>
        <v>0</v>
      </c>
      <c r="F124" s="40">
        <f t="shared" si="15"/>
        <v>0</v>
      </c>
      <c r="G124" s="40">
        <f t="shared" si="12"/>
        <v>0</v>
      </c>
      <c r="H124" s="40">
        <f t="shared" si="16"/>
        <v>0</v>
      </c>
      <c r="I124" s="237">
        <v>13</v>
      </c>
    </row>
    <row r="125" spans="1:9" s="12" customFormat="1" ht="11.25" x14ac:dyDescent="0.2">
      <c r="A125" s="216"/>
      <c r="B125" s="216"/>
      <c r="C125" s="216"/>
      <c r="D125" s="236"/>
      <c r="E125" s="40">
        <f t="shared" si="14"/>
        <v>0</v>
      </c>
      <c r="F125" s="40">
        <f t="shared" si="15"/>
        <v>0</v>
      </c>
      <c r="G125" s="40">
        <f t="shared" si="12"/>
        <v>0</v>
      </c>
      <c r="H125" s="40">
        <f t="shared" si="16"/>
        <v>0</v>
      </c>
      <c r="I125" s="237">
        <v>13</v>
      </c>
    </row>
    <row r="126" spans="1:9" s="12" customFormat="1" ht="11.25" x14ac:dyDescent="0.2">
      <c r="A126" s="216"/>
      <c r="B126" s="216"/>
      <c r="C126" s="216"/>
      <c r="D126" s="236"/>
      <c r="E126" s="40">
        <f t="shared" si="14"/>
        <v>0</v>
      </c>
      <c r="F126" s="40">
        <f t="shared" si="15"/>
        <v>0</v>
      </c>
      <c r="G126" s="40">
        <f t="shared" si="12"/>
        <v>0</v>
      </c>
      <c r="H126" s="40">
        <f t="shared" si="16"/>
        <v>0</v>
      </c>
      <c r="I126" s="237">
        <v>13</v>
      </c>
    </row>
    <row r="127" spans="1:9" s="12" customFormat="1" ht="11.25" x14ac:dyDescent="0.2">
      <c r="A127" s="216"/>
      <c r="B127" s="216"/>
      <c r="C127" s="216"/>
      <c r="D127" s="236"/>
      <c r="E127" s="40">
        <f t="shared" si="14"/>
        <v>0</v>
      </c>
      <c r="F127" s="40">
        <f t="shared" si="15"/>
        <v>0</v>
      </c>
      <c r="G127" s="40">
        <f t="shared" si="12"/>
        <v>0</v>
      </c>
      <c r="H127" s="40">
        <f t="shared" si="16"/>
        <v>0</v>
      </c>
      <c r="I127" s="237">
        <v>13</v>
      </c>
    </row>
    <row r="128" spans="1:9" s="12" customFormat="1" ht="11.25" x14ac:dyDescent="0.2">
      <c r="A128" s="216"/>
      <c r="B128" s="216"/>
      <c r="C128" s="216"/>
      <c r="D128" s="236"/>
      <c r="E128" s="40">
        <f t="shared" si="14"/>
        <v>0</v>
      </c>
      <c r="F128" s="40">
        <f t="shared" si="15"/>
        <v>0</v>
      </c>
      <c r="G128" s="40">
        <f t="shared" si="12"/>
        <v>0</v>
      </c>
      <c r="H128" s="40">
        <f t="shared" si="16"/>
        <v>0</v>
      </c>
      <c r="I128" s="237">
        <v>13</v>
      </c>
    </row>
    <row r="129" spans="1:9" s="12" customFormat="1" ht="11.25" x14ac:dyDescent="0.2">
      <c r="A129" s="216"/>
      <c r="B129" s="216"/>
      <c r="C129" s="216"/>
      <c r="D129" s="236"/>
      <c r="E129" s="40">
        <f t="shared" si="14"/>
        <v>0</v>
      </c>
      <c r="F129" s="40">
        <f t="shared" si="15"/>
        <v>0</v>
      </c>
      <c r="G129" s="40">
        <f t="shared" si="12"/>
        <v>0</v>
      </c>
      <c r="H129" s="40">
        <f t="shared" si="16"/>
        <v>0</v>
      </c>
      <c r="I129" s="237">
        <v>13</v>
      </c>
    </row>
    <row r="130" spans="1:9" s="12" customFormat="1" ht="11.25" x14ac:dyDescent="0.2">
      <c r="A130" s="216"/>
      <c r="B130" s="216"/>
      <c r="C130" s="216"/>
      <c r="D130" s="236"/>
      <c r="E130" s="40">
        <f t="shared" si="14"/>
        <v>0</v>
      </c>
      <c r="F130" s="40">
        <f t="shared" si="15"/>
        <v>0</v>
      </c>
      <c r="G130" s="40">
        <f t="shared" si="12"/>
        <v>0</v>
      </c>
      <c r="H130" s="40">
        <f t="shared" si="16"/>
        <v>0</v>
      </c>
      <c r="I130" s="237">
        <v>13</v>
      </c>
    </row>
    <row r="131" spans="1:9" s="12" customFormat="1" ht="11.25" x14ac:dyDescent="0.2">
      <c r="A131" s="216"/>
      <c r="B131" s="216"/>
      <c r="C131" s="216"/>
      <c r="D131" s="236"/>
      <c r="E131" s="40">
        <f t="shared" si="14"/>
        <v>0</v>
      </c>
      <c r="F131" s="40">
        <f t="shared" si="15"/>
        <v>0</v>
      </c>
      <c r="G131" s="40">
        <f t="shared" si="12"/>
        <v>0</v>
      </c>
      <c r="H131" s="40">
        <f t="shared" si="16"/>
        <v>0</v>
      </c>
      <c r="I131" s="237">
        <v>13</v>
      </c>
    </row>
    <row r="132" spans="1:9" s="12" customFormat="1" ht="11.25" x14ac:dyDescent="0.2">
      <c r="A132" s="216"/>
      <c r="B132" s="216"/>
      <c r="C132" s="216"/>
      <c r="D132" s="236"/>
      <c r="E132" s="40">
        <f t="shared" si="14"/>
        <v>0</v>
      </c>
      <c r="F132" s="40">
        <f t="shared" si="15"/>
        <v>0</v>
      </c>
      <c r="G132" s="40">
        <f t="shared" si="12"/>
        <v>0</v>
      </c>
      <c r="H132" s="40">
        <f t="shared" si="16"/>
        <v>0</v>
      </c>
      <c r="I132" s="237">
        <v>13</v>
      </c>
    </row>
    <row r="133" spans="1:9" s="12" customFormat="1" ht="11.25" x14ac:dyDescent="0.2">
      <c r="A133" s="216"/>
      <c r="B133" s="216"/>
      <c r="C133" s="216"/>
      <c r="D133" s="236"/>
      <c r="E133" s="40">
        <f t="shared" si="14"/>
        <v>0</v>
      </c>
      <c r="F133" s="40">
        <f t="shared" si="15"/>
        <v>0</v>
      </c>
      <c r="G133" s="40">
        <f t="shared" ref="G133:G149" si="17">D133-E133</f>
        <v>0</v>
      </c>
      <c r="H133" s="40">
        <f t="shared" si="16"/>
        <v>0</v>
      </c>
      <c r="I133" s="237">
        <v>13</v>
      </c>
    </row>
    <row r="134" spans="1:9" s="12" customFormat="1" ht="11.25" x14ac:dyDescent="0.2">
      <c r="A134" s="216"/>
      <c r="B134" s="216"/>
      <c r="C134" s="216"/>
      <c r="D134" s="236"/>
      <c r="E134" s="40">
        <f t="shared" si="14"/>
        <v>0</v>
      </c>
      <c r="F134" s="40">
        <f t="shared" si="15"/>
        <v>0</v>
      </c>
      <c r="G134" s="40">
        <f t="shared" si="17"/>
        <v>0</v>
      </c>
      <c r="H134" s="40">
        <f t="shared" si="16"/>
        <v>0</v>
      </c>
      <c r="I134" s="237">
        <v>13</v>
      </c>
    </row>
    <row r="135" spans="1:9" s="12" customFormat="1" ht="11.25" x14ac:dyDescent="0.2">
      <c r="A135" s="216"/>
      <c r="B135" s="216"/>
      <c r="C135" s="216"/>
      <c r="D135" s="236"/>
      <c r="E135" s="40">
        <f t="shared" si="14"/>
        <v>0</v>
      </c>
      <c r="F135" s="40">
        <f t="shared" si="15"/>
        <v>0</v>
      </c>
      <c r="G135" s="40">
        <f t="shared" si="17"/>
        <v>0</v>
      </c>
      <c r="H135" s="40">
        <f t="shared" si="16"/>
        <v>0</v>
      </c>
      <c r="I135" s="237">
        <v>13</v>
      </c>
    </row>
    <row r="136" spans="1:9" s="12" customFormat="1" ht="11.25" x14ac:dyDescent="0.2">
      <c r="A136" s="216"/>
      <c r="B136" s="216"/>
      <c r="C136" s="216"/>
      <c r="D136" s="236"/>
      <c r="E136" s="40">
        <f t="shared" si="14"/>
        <v>0</v>
      </c>
      <c r="F136" s="40">
        <f t="shared" si="15"/>
        <v>0</v>
      </c>
      <c r="G136" s="40">
        <f t="shared" si="17"/>
        <v>0</v>
      </c>
      <c r="H136" s="40">
        <f t="shared" si="16"/>
        <v>0</v>
      </c>
      <c r="I136" s="237">
        <v>13</v>
      </c>
    </row>
    <row r="137" spans="1:9" s="12" customFormat="1" ht="11.25" x14ac:dyDescent="0.2">
      <c r="A137" s="216"/>
      <c r="B137" s="216"/>
      <c r="C137" s="216"/>
      <c r="D137" s="236"/>
      <c r="E137" s="40">
        <f t="shared" si="14"/>
        <v>0</v>
      </c>
      <c r="F137" s="40">
        <f t="shared" si="15"/>
        <v>0</v>
      </c>
      <c r="G137" s="40">
        <f t="shared" si="17"/>
        <v>0</v>
      </c>
      <c r="H137" s="40">
        <f t="shared" si="16"/>
        <v>0</v>
      </c>
      <c r="I137" s="237">
        <v>13</v>
      </c>
    </row>
    <row r="138" spans="1:9" s="12" customFormat="1" ht="11.25" x14ac:dyDescent="0.2">
      <c r="A138" s="216"/>
      <c r="B138" s="216"/>
      <c r="C138" s="216"/>
      <c r="D138" s="236"/>
      <c r="E138" s="40">
        <f t="shared" si="14"/>
        <v>0</v>
      </c>
      <c r="F138" s="40">
        <f t="shared" si="15"/>
        <v>0</v>
      </c>
      <c r="G138" s="40">
        <f t="shared" si="17"/>
        <v>0</v>
      </c>
      <c r="H138" s="40">
        <f t="shared" si="16"/>
        <v>0</v>
      </c>
      <c r="I138" s="237">
        <v>13</v>
      </c>
    </row>
    <row r="139" spans="1:9" s="12" customFormat="1" ht="11.25" x14ac:dyDescent="0.2">
      <c r="A139" s="216"/>
      <c r="B139" s="216"/>
      <c r="C139" s="216"/>
      <c r="D139" s="236"/>
      <c r="E139" s="40">
        <f t="shared" si="14"/>
        <v>0</v>
      </c>
      <c r="F139" s="40">
        <f t="shared" si="15"/>
        <v>0</v>
      </c>
      <c r="G139" s="40">
        <f t="shared" si="17"/>
        <v>0</v>
      </c>
      <c r="H139" s="40">
        <f t="shared" si="16"/>
        <v>0</v>
      </c>
      <c r="I139" s="237">
        <v>13</v>
      </c>
    </row>
    <row r="140" spans="1:9" s="12" customFormat="1" ht="11.25" x14ac:dyDescent="0.2">
      <c r="A140" s="216"/>
      <c r="B140" s="216"/>
      <c r="C140" s="216"/>
      <c r="D140" s="236"/>
      <c r="E140" s="40">
        <f t="shared" si="14"/>
        <v>0</v>
      </c>
      <c r="F140" s="40">
        <f t="shared" si="15"/>
        <v>0</v>
      </c>
      <c r="G140" s="40">
        <f t="shared" si="17"/>
        <v>0</v>
      </c>
      <c r="H140" s="40">
        <f t="shared" si="16"/>
        <v>0</v>
      </c>
      <c r="I140" s="237">
        <v>13</v>
      </c>
    </row>
    <row r="141" spans="1:9" s="12" customFormat="1" ht="11.25" x14ac:dyDescent="0.2">
      <c r="A141" s="216"/>
      <c r="B141" s="216"/>
      <c r="C141" s="216"/>
      <c r="D141" s="236"/>
      <c r="E141" s="40">
        <f t="shared" si="14"/>
        <v>0</v>
      </c>
      <c r="F141" s="40">
        <f t="shared" si="15"/>
        <v>0</v>
      </c>
      <c r="G141" s="40">
        <f t="shared" si="17"/>
        <v>0</v>
      </c>
      <c r="H141" s="40">
        <f t="shared" si="16"/>
        <v>0</v>
      </c>
      <c r="I141" s="237">
        <v>13</v>
      </c>
    </row>
    <row r="142" spans="1:9" s="12" customFormat="1" ht="11.25" x14ac:dyDescent="0.2">
      <c r="A142" s="216"/>
      <c r="B142" s="216"/>
      <c r="C142" s="216"/>
      <c r="D142" s="236"/>
      <c r="E142" s="40">
        <f t="shared" si="14"/>
        <v>0</v>
      </c>
      <c r="F142" s="40">
        <f t="shared" si="15"/>
        <v>0</v>
      </c>
      <c r="G142" s="40">
        <f t="shared" si="17"/>
        <v>0</v>
      </c>
      <c r="H142" s="40">
        <f t="shared" si="16"/>
        <v>0</v>
      </c>
      <c r="I142" s="237">
        <v>13</v>
      </c>
    </row>
    <row r="143" spans="1:9" s="12" customFormat="1" ht="11.25" x14ac:dyDescent="0.2">
      <c r="A143" s="216"/>
      <c r="B143" s="216"/>
      <c r="C143" s="216"/>
      <c r="D143" s="236"/>
      <c r="E143" s="40">
        <f t="shared" si="14"/>
        <v>0</v>
      </c>
      <c r="F143" s="40">
        <f t="shared" si="15"/>
        <v>0</v>
      </c>
      <c r="G143" s="40">
        <f t="shared" si="17"/>
        <v>0</v>
      </c>
      <c r="H143" s="40">
        <f t="shared" si="16"/>
        <v>0</v>
      </c>
      <c r="I143" s="237">
        <v>13</v>
      </c>
    </row>
    <row r="144" spans="1:9" s="12" customFormat="1" ht="11.25" x14ac:dyDescent="0.2">
      <c r="A144" s="216"/>
      <c r="B144" s="216"/>
      <c r="C144" s="216"/>
      <c r="D144" s="236"/>
      <c r="E144" s="40">
        <f t="shared" si="14"/>
        <v>0</v>
      </c>
      <c r="F144" s="40">
        <f t="shared" si="15"/>
        <v>0</v>
      </c>
      <c r="G144" s="40">
        <f t="shared" si="17"/>
        <v>0</v>
      </c>
      <c r="H144" s="40">
        <f t="shared" si="16"/>
        <v>0</v>
      </c>
      <c r="I144" s="237">
        <v>13</v>
      </c>
    </row>
    <row r="145" spans="1:9" s="12" customFormat="1" ht="11.25" x14ac:dyDescent="0.2">
      <c r="A145" s="216"/>
      <c r="B145" s="216"/>
      <c r="C145" s="216"/>
      <c r="D145" s="236"/>
      <c r="E145" s="40">
        <f t="shared" si="14"/>
        <v>0</v>
      </c>
      <c r="F145" s="40">
        <f t="shared" si="15"/>
        <v>0</v>
      </c>
      <c r="G145" s="40">
        <f t="shared" si="17"/>
        <v>0</v>
      </c>
      <c r="H145" s="40">
        <f t="shared" si="16"/>
        <v>0</v>
      </c>
      <c r="I145" s="237">
        <v>13</v>
      </c>
    </row>
    <row r="146" spans="1:9" s="12" customFormat="1" ht="11.25" x14ac:dyDescent="0.2">
      <c r="A146" s="216"/>
      <c r="B146" s="216"/>
      <c r="C146" s="216"/>
      <c r="D146" s="236"/>
      <c r="E146" s="40">
        <f t="shared" si="14"/>
        <v>0</v>
      </c>
      <c r="F146" s="40">
        <f t="shared" si="15"/>
        <v>0</v>
      </c>
      <c r="G146" s="40">
        <f t="shared" si="17"/>
        <v>0</v>
      </c>
      <c r="H146" s="40">
        <f t="shared" si="16"/>
        <v>0</v>
      </c>
      <c r="I146" s="237">
        <v>13</v>
      </c>
    </row>
    <row r="147" spans="1:9" s="12" customFormat="1" ht="11.25" x14ac:dyDescent="0.2">
      <c r="A147" s="216"/>
      <c r="B147" s="216"/>
      <c r="C147" s="216"/>
      <c r="D147" s="236"/>
      <c r="E147" s="40">
        <f t="shared" si="14"/>
        <v>0</v>
      </c>
      <c r="F147" s="40">
        <f t="shared" si="15"/>
        <v>0</v>
      </c>
      <c r="G147" s="40">
        <f t="shared" si="17"/>
        <v>0</v>
      </c>
      <c r="H147" s="40">
        <f t="shared" si="16"/>
        <v>0</v>
      </c>
      <c r="I147" s="237">
        <v>13</v>
      </c>
    </row>
    <row r="148" spans="1:9" s="12" customFormat="1" ht="11.25" x14ac:dyDescent="0.2">
      <c r="A148" s="216"/>
      <c r="B148" s="216"/>
      <c r="C148" s="216"/>
      <c r="D148" s="236"/>
      <c r="E148" s="40">
        <f t="shared" si="14"/>
        <v>0</v>
      </c>
      <c r="F148" s="40">
        <f t="shared" si="15"/>
        <v>0</v>
      </c>
      <c r="G148" s="40">
        <f t="shared" si="17"/>
        <v>0</v>
      </c>
      <c r="H148" s="40">
        <f t="shared" si="16"/>
        <v>0</v>
      </c>
      <c r="I148" s="237">
        <v>13</v>
      </c>
    </row>
    <row r="149" spans="1:9" s="12" customFormat="1" ht="11.25" x14ac:dyDescent="0.2">
      <c r="A149" s="216"/>
      <c r="B149" s="216"/>
      <c r="C149" s="216"/>
      <c r="D149" s="236"/>
      <c r="E149" s="40">
        <f>ROUNDUP(D149*70%,0)</f>
        <v>0</v>
      </c>
      <c r="F149" s="40">
        <f>IF(D149=0,0,ebédjegy*munkanapok)</f>
        <v>0</v>
      </c>
      <c r="G149" s="40">
        <f t="shared" si="17"/>
        <v>0</v>
      </c>
      <c r="H149" s="40">
        <f>ROUNDUP(D149*adókulcs,0)</f>
        <v>0</v>
      </c>
      <c r="I149" s="237">
        <v>13</v>
      </c>
    </row>
    <row r="150" spans="1:9" s="12" customFormat="1" ht="11.25" x14ac:dyDescent="0.2">
      <c r="B150" s="12">
        <f>COUNTA(B14:B149)</f>
        <v>66</v>
      </c>
      <c r="E150" s="13"/>
      <c r="F150" s="13"/>
      <c r="G150" s="13"/>
      <c r="H150" s="13"/>
      <c r="I150" s="13"/>
    </row>
    <row r="151" spans="1:9" s="12" customFormat="1" ht="11.25" x14ac:dyDescent="0.2">
      <c r="E151" s="13"/>
      <c r="F151" s="13"/>
      <c r="G151" s="13"/>
      <c r="H151" s="13"/>
      <c r="I151" s="13"/>
    </row>
    <row r="152" spans="1:9" s="12" customFormat="1" ht="11.25" x14ac:dyDescent="0.2">
      <c r="E152" s="13"/>
      <c r="F152" s="13"/>
      <c r="G152" s="13"/>
      <c r="H152" s="13"/>
      <c r="I152" s="13"/>
    </row>
    <row r="153" spans="1:9" s="12" customFormat="1" ht="11.25" x14ac:dyDescent="0.2">
      <c r="E153" s="13"/>
      <c r="F153" s="13"/>
      <c r="G153" s="13"/>
      <c r="H153" s="13"/>
      <c r="I153" s="13"/>
    </row>
    <row r="154" spans="1:9" s="12" customFormat="1" ht="11.25" x14ac:dyDescent="0.2">
      <c r="E154" s="13"/>
      <c r="F154" s="13"/>
      <c r="G154" s="13"/>
      <c r="H154" s="13"/>
      <c r="I154" s="13"/>
    </row>
    <row r="155" spans="1:9" s="12" customFormat="1" ht="11.25" x14ac:dyDescent="0.2">
      <c r="E155" s="13"/>
      <c r="F155" s="13"/>
      <c r="G155" s="13"/>
      <c r="H155" s="13"/>
      <c r="I155" s="13"/>
    </row>
    <row r="156" spans="1:9" s="12" customFormat="1" ht="11.25" x14ac:dyDescent="0.2">
      <c r="E156" s="13"/>
      <c r="F156" s="13"/>
      <c r="G156" s="13"/>
      <c r="H156" s="13"/>
      <c r="I156" s="13"/>
    </row>
    <row r="157" spans="1:9" s="12" customFormat="1" ht="11.25" x14ac:dyDescent="0.2">
      <c r="E157" s="13"/>
      <c r="F157" s="13"/>
      <c r="G157" s="13"/>
      <c r="H157" s="13"/>
      <c r="I157" s="13"/>
    </row>
    <row r="158" spans="1:9" s="12" customFormat="1" ht="11.25" x14ac:dyDescent="0.2">
      <c r="E158" s="13"/>
      <c r="F158" s="13"/>
      <c r="G158" s="13"/>
      <c r="H158" s="13"/>
      <c r="I158" s="13"/>
    </row>
    <row r="159" spans="1:9" s="12" customFormat="1" ht="11.25" x14ac:dyDescent="0.2">
      <c r="E159" s="13"/>
      <c r="F159" s="13"/>
      <c r="G159" s="13"/>
      <c r="H159" s="13"/>
      <c r="I159" s="13"/>
    </row>
    <row r="160" spans="1:9" s="12" customFormat="1" ht="11.25" x14ac:dyDescent="0.2">
      <c r="E160" s="13"/>
      <c r="F160" s="13"/>
      <c r="G160" s="13"/>
      <c r="H160" s="13"/>
      <c r="I160" s="13"/>
    </row>
    <row r="161" spans="2:9" s="12" customFormat="1" ht="11.25" x14ac:dyDescent="0.2">
      <c r="E161" s="13"/>
      <c r="F161" s="13"/>
      <c r="G161" s="13"/>
      <c r="H161" s="13"/>
      <c r="I161" s="13"/>
    </row>
    <row r="162" spans="2:9" s="12" customFormat="1" ht="11.25" x14ac:dyDescent="0.2">
      <c r="E162" s="13"/>
      <c r="F162" s="13"/>
      <c r="G162" s="13"/>
      <c r="H162" s="13"/>
    </row>
    <row r="163" spans="2:9" s="12" customFormat="1" ht="11.25" x14ac:dyDescent="0.2">
      <c r="E163" s="13"/>
      <c r="F163" s="13"/>
      <c r="G163" s="13"/>
      <c r="H163" s="13"/>
      <c r="I163" s="13"/>
    </row>
    <row r="164" spans="2:9" s="12" customFormat="1" ht="11.25" x14ac:dyDescent="0.2">
      <c r="E164" s="13"/>
      <c r="F164" s="13"/>
      <c r="G164" s="13"/>
      <c r="H164" s="13"/>
      <c r="I164" s="13"/>
    </row>
    <row r="165" spans="2:9" s="12" customFormat="1" ht="11.25" x14ac:dyDescent="0.2">
      <c r="E165" s="13"/>
      <c r="F165" s="13"/>
      <c r="G165" s="13"/>
      <c r="H165" s="13"/>
      <c r="I165" s="13"/>
    </row>
    <row r="166" spans="2:9" s="12" customFormat="1" ht="11.25" x14ac:dyDescent="0.2">
      <c r="E166" s="13"/>
      <c r="F166" s="13"/>
      <c r="G166" s="13"/>
      <c r="H166" s="13"/>
      <c r="I166" s="13"/>
    </row>
    <row r="167" spans="2:9" s="12" customFormat="1" ht="11.25" x14ac:dyDescent="0.2">
      <c r="E167" s="13"/>
      <c r="F167" s="13"/>
      <c r="G167" s="13"/>
      <c r="H167" s="13"/>
      <c r="I167" s="13"/>
    </row>
    <row r="168" spans="2:9" s="12" customFormat="1" ht="11.25" x14ac:dyDescent="0.2">
      <c r="E168" s="13"/>
      <c r="F168" s="13"/>
      <c r="G168" s="13"/>
      <c r="H168" s="13"/>
      <c r="I168" s="13"/>
    </row>
    <row r="169" spans="2:9" s="12" customFormat="1" x14ac:dyDescent="0.2">
      <c r="B169" s="3"/>
      <c r="E169" s="13"/>
      <c r="F169" s="13"/>
      <c r="G169" s="13"/>
      <c r="H169" s="13"/>
      <c r="I169" s="13"/>
    </row>
  </sheetData>
  <sheetProtection selectLockedCells="1"/>
  <mergeCells count="3">
    <mergeCell ref="A2:B2"/>
    <mergeCell ref="A8:A10"/>
    <mergeCell ref="A3:A6"/>
  </mergeCells>
  <phoneticPr fontId="10" type="noConversion"/>
  <dataValidations count="2">
    <dataValidation allowBlank="1" showInputMessage="1" showErrorMessage="1" error="Érvénytelen adat." sqref="I14:I149"/>
    <dataValidation type="list" allowBlank="1" showInputMessage="1" showErrorMessage="1" sqref="C14:C149">
      <formula1>hivatalok</formula1>
    </dataValidation>
  </dataValidations>
  <pageMargins left="0.74803149606299213" right="0.74803149606299213" top="1.2" bottom="0.43307086614173229" header="0.92" footer="0.27559055118110237"/>
  <pageSetup paperSize="9" fitToHeight="12" orientation="landscape" horizontalDpi="1200" verticalDpi="1200" r:id="rId1"/>
  <headerFooter alignWithMargins="0">
    <oddHeader>&amp;LAdminisztratív személyzet bérei&amp;R&amp;D, &amp;T</oddHeader>
    <oddFooter>&amp;L&amp;F&amp;C&amp;A&amp;R&amp;P/&amp;N oldal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D37" sqref="D37"/>
    </sheetView>
  </sheetViews>
  <sheetFormatPr defaultColWidth="9.140625" defaultRowHeight="12.75" x14ac:dyDescent="0.2"/>
  <cols>
    <col min="1" max="1" width="74.28515625" style="19" bestFit="1" customWidth="1"/>
    <col min="2" max="2" width="11" style="19" bestFit="1" customWidth="1"/>
    <col min="3" max="3" width="10.5703125" style="19" customWidth="1"/>
    <col min="4" max="4" width="12.140625" style="19" customWidth="1"/>
    <col min="5" max="5" width="9.7109375" style="19" customWidth="1"/>
    <col min="6" max="6" width="8.85546875" style="25" bestFit="1" customWidth="1"/>
    <col min="7" max="7" width="13" style="19" customWidth="1"/>
    <col min="8" max="10" width="10.28515625" style="19" bestFit="1" customWidth="1"/>
    <col min="11" max="11" width="10" style="19" bestFit="1" customWidth="1"/>
    <col min="12" max="12" width="9.140625" style="19"/>
    <col min="13" max="13" width="23.5703125" style="19" customWidth="1"/>
    <col min="14" max="14" width="28.28515625" style="19" customWidth="1"/>
    <col min="15" max="15" width="16.7109375" style="19" bestFit="1" customWidth="1"/>
    <col min="16" max="16" width="10.85546875" style="19" bestFit="1" customWidth="1"/>
    <col min="17" max="16384" width="9.140625" style="19"/>
  </cols>
  <sheetData>
    <row r="1" spans="1:15" s="3" customFormat="1" x14ac:dyDescent="0.2">
      <c r="A1" s="304" t="str">
        <f>Összesítő!B2</f>
        <v>EMTE - Marosvásárhelyi kar</v>
      </c>
      <c r="B1" s="305"/>
      <c r="C1" s="305"/>
      <c r="D1" s="305"/>
      <c r="F1" s="4"/>
    </row>
    <row r="2" spans="1:15" s="3" customFormat="1" x14ac:dyDescent="0.2">
      <c r="A2" s="314"/>
      <c r="B2" s="314"/>
      <c r="C2" s="314"/>
      <c r="D2" s="314"/>
      <c r="F2" s="4"/>
    </row>
    <row r="3" spans="1:15" x14ac:dyDescent="0.2">
      <c r="A3" s="315" t="s">
        <v>41</v>
      </c>
      <c r="B3" s="315"/>
      <c r="C3" s="17"/>
      <c r="D3" s="18"/>
      <c r="E3" s="18"/>
      <c r="F3" s="28"/>
      <c r="G3" s="18"/>
      <c r="H3" s="18"/>
      <c r="I3" s="18"/>
      <c r="J3" s="18"/>
    </row>
    <row r="4" spans="1:15" x14ac:dyDescent="0.2">
      <c r="D4" s="18"/>
      <c r="E4" s="18"/>
      <c r="F4" s="28"/>
      <c r="G4" s="18"/>
      <c r="H4" s="18"/>
      <c r="I4" s="20"/>
      <c r="J4" s="6"/>
    </row>
    <row r="5" spans="1:15" x14ac:dyDescent="0.2">
      <c r="A5" s="17"/>
      <c r="B5" s="21"/>
      <c r="F5" s="21"/>
      <c r="G5" s="17"/>
    </row>
    <row r="6" spans="1:15" ht="13.5" customHeight="1" x14ac:dyDescent="0.2">
      <c r="A6" s="22" t="s">
        <v>35</v>
      </c>
      <c r="B6" s="23">
        <f>B7+B8+B9+B10</f>
        <v>0</v>
      </c>
      <c r="C6" s="312" t="s">
        <v>47</v>
      </c>
      <c r="D6" s="312"/>
      <c r="E6" s="312"/>
      <c r="F6" s="312"/>
      <c r="G6" s="312"/>
    </row>
    <row r="7" spans="1:15" ht="12.75" customHeight="1" x14ac:dyDescent="0.2">
      <c r="A7" s="24" t="s">
        <v>36</v>
      </c>
      <c r="B7" s="14">
        <f>F24+F25+F30+F31</f>
        <v>0</v>
      </c>
      <c r="C7" s="311"/>
      <c r="D7" s="311"/>
      <c r="E7" s="311"/>
      <c r="F7" s="311"/>
      <c r="G7" s="311"/>
    </row>
    <row r="8" spans="1:15" ht="12.75" customHeight="1" x14ac:dyDescent="0.2">
      <c r="A8" s="24" t="s">
        <v>37</v>
      </c>
      <c r="B8" s="14">
        <f>F26+F27+F32+F33</f>
        <v>0</v>
      </c>
      <c r="C8" s="311"/>
      <c r="D8" s="311"/>
      <c r="E8" s="311"/>
      <c r="F8" s="311"/>
      <c r="G8" s="311"/>
    </row>
    <row r="9" spans="1:15" x14ac:dyDescent="0.2">
      <c r="A9" s="24" t="s">
        <v>275</v>
      </c>
      <c r="B9" s="238"/>
      <c r="C9" s="311"/>
      <c r="D9" s="311"/>
      <c r="E9" s="311"/>
      <c r="F9" s="311"/>
      <c r="G9" s="311"/>
    </row>
    <row r="10" spans="1:15" ht="13.5" customHeight="1" x14ac:dyDescent="0.2">
      <c r="A10" s="24" t="s">
        <v>337</v>
      </c>
      <c r="B10" s="238"/>
      <c r="C10" s="311"/>
      <c r="D10" s="311"/>
      <c r="E10" s="311"/>
      <c r="F10" s="311"/>
      <c r="G10" s="311"/>
    </row>
    <row r="12" spans="1:15" hidden="1" x14ac:dyDescent="0.2">
      <c r="A12" s="19" t="s">
        <v>76</v>
      </c>
      <c r="B12" s="19">
        <f>COUNTA('Főállású oktatók'!A16:A116)</f>
        <v>92</v>
      </c>
    </row>
    <row r="13" spans="1:15" hidden="1" x14ac:dyDescent="0.2">
      <c r="A13" s="19" t="s">
        <v>77</v>
      </c>
      <c r="B13" s="19">
        <v>0</v>
      </c>
    </row>
    <row r="14" spans="1:15" hidden="1" x14ac:dyDescent="0.2">
      <c r="A14" s="19" t="s">
        <v>38</v>
      </c>
      <c r="B14" s="19">
        <v>0</v>
      </c>
      <c r="M14" s="312"/>
      <c r="N14" s="312"/>
    </row>
    <row r="15" spans="1:15" hidden="1" x14ac:dyDescent="0.2">
      <c r="A15" s="19" t="s">
        <v>39</v>
      </c>
      <c r="B15" s="19">
        <v>0</v>
      </c>
      <c r="O15" s="17"/>
    </row>
    <row r="16" spans="1:15" hidden="1" x14ac:dyDescent="0.2">
      <c r="A16" s="17" t="s">
        <v>40</v>
      </c>
      <c r="B16" s="17">
        <f>SUM(B12:B15)</f>
        <v>92</v>
      </c>
      <c r="M16" s="312"/>
      <c r="N16" s="312"/>
    </row>
    <row r="17" spans="1:15" hidden="1" x14ac:dyDescent="0.2">
      <c r="O17" s="17"/>
    </row>
    <row r="18" spans="1:15" hidden="1" x14ac:dyDescent="0.2">
      <c r="O18" s="313"/>
    </row>
    <row r="19" spans="1:15" hidden="1" x14ac:dyDescent="0.2">
      <c r="A19" s="19" t="s">
        <v>106</v>
      </c>
      <c r="B19" s="19">
        <f>'Főállású oktatók'!B117</f>
        <v>0</v>
      </c>
      <c r="O19" s="313"/>
    </row>
    <row r="20" spans="1:15" hidden="1" x14ac:dyDescent="0.2">
      <c r="A20" s="19" t="s">
        <v>105</v>
      </c>
      <c r="B20" s="19">
        <f>Adminisztráció!B149</f>
        <v>0</v>
      </c>
      <c r="O20" s="313"/>
    </row>
    <row r="21" spans="1:15" hidden="1" x14ac:dyDescent="0.2">
      <c r="A21" s="17" t="s">
        <v>107</v>
      </c>
      <c r="B21" s="17">
        <f>SUM(B20:B20)</f>
        <v>0</v>
      </c>
      <c r="M21" s="3"/>
      <c r="N21" s="3"/>
      <c r="O21" s="3"/>
    </row>
    <row r="23" spans="1:15" ht="38.25" x14ac:dyDescent="0.2">
      <c r="A23" s="29" t="s">
        <v>43</v>
      </c>
      <c r="B23" s="29" t="s">
        <v>44</v>
      </c>
      <c r="C23" s="29" t="s">
        <v>42</v>
      </c>
      <c r="D23" s="29" t="s">
        <v>73</v>
      </c>
      <c r="E23" s="29" t="s">
        <v>1</v>
      </c>
      <c r="F23" s="29" t="s">
        <v>112</v>
      </c>
      <c r="G23" s="25"/>
      <c r="H23" s="25"/>
    </row>
    <row r="24" spans="1:15" x14ac:dyDescent="0.2">
      <c r="A24" s="30" t="s">
        <v>109</v>
      </c>
      <c r="B24" s="41">
        <v>13</v>
      </c>
      <c r="C24" s="239"/>
      <c r="D24" s="41">
        <f>B24*C24</f>
        <v>0</v>
      </c>
      <c r="E24" s="29">
        <f>adatok!$F$2</f>
        <v>12</v>
      </c>
      <c r="F24" s="41">
        <f>D24*E24</f>
        <v>0</v>
      </c>
    </row>
    <row r="25" spans="1:15" x14ac:dyDescent="0.2">
      <c r="A25" s="30" t="s">
        <v>108</v>
      </c>
      <c r="B25" s="42">
        <v>35</v>
      </c>
      <c r="C25" s="239"/>
      <c r="D25" s="41">
        <f>ROUNDUP(B25*C25*adatok!$F$10,0)</f>
        <v>0</v>
      </c>
      <c r="E25" s="29">
        <f>adatok!$F$2</f>
        <v>12</v>
      </c>
      <c r="F25" s="41">
        <f>D25*E25</f>
        <v>0</v>
      </c>
    </row>
    <row r="26" spans="1:15" x14ac:dyDescent="0.2">
      <c r="A26" s="30" t="s">
        <v>110</v>
      </c>
      <c r="B26" s="41">
        <v>120</v>
      </c>
      <c r="C26" s="239"/>
      <c r="D26" s="41">
        <f>B26*C26</f>
        <v>0</v>
      </c>
      <c r="E26" s="29">
        <f>adatok!$F$2</f>
        <v>12</v>
      </c>
      <c r="F26" s="41">
        <f>D26*E26</f>
        <v>0</v>
      </c>
    </row>
    <row r="27" spans="1:15" x14ac:dyDescent="0.2">
      <c r="A27" s="30" t="s">
        <v>111</v>
      </c>
      <c r="B27" s="42">
        <v>35</v>
      </c>
      <c r="C27" s="239"/>
      <c r="D27" s="41">
        <f>ROUNDUP(B27*C27*adatok!$F$10,0)</f>
        <v>0</v>
      </c>
      <c r="E27" s="29">
        <f>adatok!$F$2</f>
        <v>12</v>
      </c>
      <c r="F27" s="41">
        <f>D27*E27</f>
        <v>0</v>
      </c>
    </row>
    <row r="28" spans="1:15" x14ac:dyDescent="0.2">
      <c r="B28" s="5"/>
      <c r="C28" s="27"/>
      <c r="D28" s="5"/>
      <c r="E28" s="5"/>
    </row>
    <row r="29" spans="1:15" ht="38.25" x14ac:dyDescent="0.2">
      <c r="A29" s="29" t="s">
        <v>45</v>
      </c>
      <c r="B29" s="29" t="s">
        <v>44</v>
      </c>
      <c r="C29" s="29" t="s">
        <v>42</v>
      </c>
      <c r="D29" s="29" t="s">
        <v>73</v>
      </c>
      <c r="E29" s="29" t="s">
        <v>1</v>
      </c>
      <c r="F29" s="29" t="s">
        <v>112</v>
      </c>
      <c r="G29" s="25"/>
      <c r="H29" s="25"/>
      <c r="I29" s="25"/>
      <c r="N29" s="3"/>
      <c r="O29" s="3"/>
    </row>
    <row r="30" spans="1:15" x14ac:dyDescent="0.2">
      <c r="A30" s="30" t="s">
        <v>109</v>
      </c>
      <c r="B30" s="41">
        <v>13</v>
      </c>
      <c r="C30" s="239"/>
      <c r="D30" s="41">
        <f>B30*C30</f>
        <v>0</v>
      </c>
      <c r="E30" s="29">
        <f>adatok!$F$2</f>
        <v>12</v>
      </c>
      <c r="F30" s="41">
        <f>D30*E30</f>
        <v>0</v>
      </c>
      <c r="G30" s="26"/>
      <c r="M30" s="3"/>
      <c r="N30" s="3"/>
      <c r="O30" s="3"/>
    </row>
    <row r="31" spans="1:15" x14ac:dyDescent="0.2">
      <c r="A31" s="30" t="s">
        <v>108</v>
      </c>
      <c r="B31" s="42">
        <v>35</v>
      </c>
      <c r="C31" s="239"/>
      <c r="D31" s="41">
        <f>ROUNDUP(B31*C31*adatok!$F$10,0)</f>
        <v>0</v>
      </c>
      <c r="E31" s="29">
        <f>adatok!$F$2</f>
        <v>12</v>
      </c>
      <c r="F31" s="41">
        <f>D31*E31</f>
        <v>0</v>
      </c>
      <c r="G31" s="26"/>
    </row>
    <row r="32" spans="1:15" x14ac:dyDescent="0.2">
      <c r="A32" s="30" t="s">
        <v>110</v>
      </c>
      <c r="B32" s="41">
        <v>120</v>
      </c>
      <c r="C32" s="239"/>
      <c r="D32" s="41">
        <f>B32*C32</f>
        <v>0</v>
      </c>
      <c r="E32" s="29">
        <f>adatok!$F$2</f>
        <v>12</v>
      </c>
      <c r="F32" s="41">
        <f>D32*E32</f>
        <v>0</v>
      </c>
      <c r="G32" s="26"/>
    </row>
    <row r="33" spans="1:7" x14ac:dyDescent="0.2">
      <c r="A33" s="30" t="s">
        <v>111</v>
      </c>
      <c r="B33" s="42">
        <v>40</v>
      </c>
      <c r="C33" s="239"/>
      <c r="D33" s="41">
        <f>ROUNDUP(B33*C33*adatok!$F$10,0)</f>
        <v>0</v>
      </c>
      <c r="E33" s="29">
        <f>adatok!$F$2</f>
        <v>12</v>
      </c>
      <c r="F33" s="41">
        <f>D33*E33</f>
        <v>0</v>
      </c>
      <c r="G33" s="26"/>
    </row>
  </sheetData>
  <sheetProtection selectLockedCells="1"/>
  <mergeCells count="11">
    <mergeCell ref="C8:G8"/>
    <mergeCell ref="A1:D1"/>
    <mergeCell ref="A2:D2"/>
    <mergeCell ref="A3:B3"/>
    <mergeCell ref="C6:G6"/>
    <mergeCell ref="C7:G7"/>
    <mergeCell ref="C10:G10"/>
    <mergeCell ref="C9:G9"/>
    <mergeCell ref="M14:N14"/>
    <mergeCell ref="M16:N16"/>
    <mergeCell ref="O18:O20"/>
  </mergeCells>
  <phoneticPr fontId="10" type="noConversion"/>
  <dataValidations count="1">
    <dataValidation allowBlank="1" showInputMessage="1" showErrorMessage="1" error="Érvénytelen adat!" sqref="E24:E33"/>
  </dataValidations>
  <pageMargins left="0.75" right="0.75" top="0.71" bottom="0.71" header="0.5" footer="0.5"/>
  <pageSetup paperSize="9" scale="90" fitToHeight="10" orientation="landscape" horizontalDpi="1200" verticalDpi="1200" r:id="rId1"/>
  <headerFooter alignWithMargins="0">
    <oddHeader>&amp;LUtazási költségtérítés&amp;R&amp;D, &amp;T</oddHeader>
    <oddFooter>&amp;L&amp;F&amp;C&amp;A&amp;R&amp;P/&amp;N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adatok</vt:lpstr>
      <vt:lpstr>Összesítő</vt:lpstr>
      <vt:lpstr>Főállású oktatók</vt:lpstr>
      <vt:lpstr>Társult órabéresek</vt:lpstr>
      <vt:lpstr>Óraadók</vt:lpstr>
      <vt:lpstr>Vendégelőadók HU</vt:lpstr>
      <vt:lpstr>Kuratórium</vt:lpstr>
      <vt:lpstr>Adminisztráció</vt:lpstr>
      <vt:lpstr>Utazási költségek</vt:lpstr>
      <vt:lpstr>Dologi kiadások</vt:lpstr>
      <vt:lpstr>Felhalmozási kiadások</vt:lpstr>
      <vt:lpstr>kutatási projektek</vt:lpstr>
      <vt:lpstr>szolgáltatások</vt:lpstr>
      <vt:lpstr>adókulcs</vt:lpstr>
      <vt:lpstr>árfolyamok</vt:lpstr>
      <vt:lpstr>ebédjegy</vt:lpstr>
      <vt:lpstr>egységek</vt:lpstr>
      <vt:lpstr>évente</vt:lpstr>
      <vt:lpstr>hivatalok</vt:lpstr>
      <vt:lpstr>igen_nem</vt:lpstr>
      <vt:lpstr>jogdíjadó</vt:lpstr>
      <vt:lpstr>munkanapok</vt:lpstr>
      <vt:lpstr>oktatói_fokozatok</vt:lpstr>
      <vt:lpstr>órabér</vt:lpstr>
      <vt:lpstr>órabérek</vt:lpstr>
      <vt:lpstr>pótlékok</vt:lpstr>
      <vt:lpstr>Adminisztráció!Print_Area</vt:lpstr>
      <vt:lpstr>'Dologi kiadások'!Print_Area</vt:lpstr>
      <vt:lpstr>'Felhalmozási kiadások'!Print_Area</vt:lpstr>
      <vt:lpstr>'Főállású oktatók'!Print_Area</vt:lpstr>
      <vt:lpstr>Óraadók!Print_Area</vt:lpstr>
      <vt:lpstr>Összesítő!Print_Area</vt:lpstr>
      <vt:lpstr>'Társult órabéresek'!Print_Area</vt:lpstr>
      <vt:lpstr>'Utazási költségek'!Print_Area</vt:lpstr>
      <vt:lpstr>'Vendégelőadók HU'!Print_Area</vt:lpstr>
      <vt:lpstr>'Dologi kiadások'!Print_Titles</vt:lpstr>
      <vt:lpstr>'Felhalmozási kiadások'!Print_Titles</vt:lpstr>
      <vt:lpstr>'Főállású oktatók'!Print_Titles</vt:lpstr>
      <vt:lpstr>Óraadók!Print_Titles</vt:lpstr>
      <vt:lpstr>'Társult órabéresek'!Print_Titles</vt:lpstr>
      <vt:lpstr>'Utazási költségek'!Print_Titles</vt:lpstr>
      <vt:lpstr>'Vendégelőadók HU'!Print_Titles</vt:lpstr>
      <vt:lpstr>adatok!tanszékek</vt:lpstr>
      <vt:lpstr>tanszékek</vt:lpstr>
      <vt:lpstr>tervezési_időszak</vt:lpstr>
      <vt:lpstr>vezetői_beosztások</vt:lpstr>
    </vt:vector>
  </TitlesOfParts>
  <Company>Sapientia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sz.e.</dc:creator>
  <cp:lastModifiedBy>Balázs Mihály</cp:lastModifiedBy>
  <cp:lastPrinted>2012-09-20T08:43:00Z</cp:lastPrinted>
  <dcterms:created xsi:type="dcterms:W3CDTF">2005-02-12T06:59:40Z</dcterms:created>
  <dcterms:modified xsi:type="dcterms:W3CDTF">2018-09-11T07:24:31Z</dcterms:modified>
</cp:coreProperties>
</file>